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DieseArbeitsmappe" defaultThemeVersion="124226"/>
  <workbookProtection workbookPassword="CCE5" lockStructure="1"/>
  <bookViews>
    <workbookView xWindow="17520" yWindow="600" windowWidth="8370" windowHeight="7575"/>
  </bookViews>
  <sheets>
    <sheet name="1#KALKULATOR-CALCULATOR_NEW" sheetId="13" r:id="rId1"/>
    <sheet name="2#UMRECHNER-CONVERTER" sheetId="7" r:id="rId2"/>
    <sheet name="Normal_V2_Pro" sheetId="17" state="hidden" r:id="rId3"/>
    <sheet name="Normal_V2_Classic" sheetId="9" state="hidden" r:id="rId4"/>
    <sheet name="Normal_V2_CORO" sheetId="16" state="hidden" r:id="rId5"/>
    <sheet name="Normal_V2_Style" sheetId="6" state="hidden" r:id="rId6"/>
    <sheet name="Tabelle2" sheetId="11" state="hidden" r:id="rId7"/>
    <sheet name="Tabelle3" sheetId="12" state="hidden" r:id="rId8"/>
    <sheet name="Tabelle5" sheetId="14" state="hidden" r:id="rId9"/>
    <sheet name="Tabelle1" sheetId="18" state="hidden" r:id="rId10"/>
  </sheets>
  <calcPr calcId="145621"/>
</workbook>
</file>

<file path=xl/calcChain.xml><?xml version="1.0" encoding="utf-8"?>
<calcChain xmlns="http://schemas.openxmlformats.org/spreadsheetml/2006/main">
  <c r="M29" i="13" l="1"/>
  <c r="M27" i="13"/>
  <c r="M26" i="13"/>
  <c r="M25" i="13"/>
  <c r="M23" i="13"/>
  <c r="M22" i="13"/>
  <c r="M21" i="13"/>
  <c r="G4" i="6"/>
  <c r="G4" i="16"/>
  <c r="A1" i="7"/>
  <c r="D14" i="7"/>
  <c r="F14" i="7"/>
  <c r="G13" i="7"/>
  <c r="E13" i="7"/>
  <c r="G12" i="7"/>
  <c r="E12" i="7"/>
  <c r="E4" i="7"/>
  <c r="C4" i="7"/>
  <c r="D4" i="7"/>
  <c r="B12" i="7"/>
  <c r="H14" i="7"/>
  <c r="H13" i="7"/>
  <c r="H12" i="7"/>
  <c r="B14" i="7"/>
  <c r="B13" i="7"/>
  <c r="E9" i="7"/>
  <c r="G9" i="7"/>
  <c r="E11" i="7"/>
  <c r="F11" i="7"/>
  <c r="G11" i="7"/>
  <c r="D11" i="7"/>
  <c r="E8" i="7"/>
  <c r="F8" i="7"/>
  <c r="G8" i="7"/>
  <c r="D8" i="7"/>
  <c r="E7" i="7"/>
  <c r="F7" i="7"/>
  <c r="G7" i="7"/>
  <c r="D7" i="7"/>
  <c r="F5" i="7"/>
  <c r="F10" i="7" l="1"/>
  <c r="D10" i="7"/>
  <c r="D9" i="7" s="1"/>
  <c r="F9" i="7" s="1"/>
  <c r="G6" i="7"/>
  <c r="F6" i="7"/>
  <c r="G5" i="7"/>
  <c r="F4" i="7"/>
  <c r="G4" i="7"/>
  <c r="J7" i="13"/>
  <c r="D5" i="9"/>
  <c r="B28" i="13"/>
  <c r="O24" i="16"/>
  <c r="B27" i="13"/>
  <c r="B26" i="13"/>
  <c r="B24" i="13"/>
  <c r="B23" i="13"/>
  <c r="B22" i="13"/>
  <c r="B17" i="13"/>
  <c r="B3" i="13"/>
  <c r="N24" i="13"/>
  <c r="O24" i="13"/>
  <c r="N28" i="13"/>
  <c r="O28" i="13"/>
  <c r="D5" i="6"/>
  <c r="D4" i="6"/>
  <c r="D5" i="16"/>
  <c r="D4" i="16"/>
  <c r="F25" i="16" s="1"/>
  <c r="D4" i="9"/>
  <c r="C16" i="9" s="1"/>
  <c r="D5" i="17"/>
  <c r="D31" i="17" s="1"/>
  <c r="D4" i="17"/>
  <c r="D33" i="17" s="1"/>
  <c r="D2" i="6"/>
  <c r="D2" i="16"/>
  <c r="D2" i="9"/>
  <c r="D2" i="17"/>
  <c r="L7" i="17"/>
  <c r="M7" i="17" s="1"/>
  <c r="H7" i="16"/>
  <c r="I7" i="16" s="1"/>
  <c r="B5" i="13"/>
  <c r="A56" i="13"/>
  <c r="M31" i="13"/>
  <c r="H31" i="13"/>
  <c r="B31" i="13"/>
  <c r="M28" i="13"/>
  <c r="H28" i="13"/>
  <c r="H27" i="13"/>
  <c r="H26" i="13"/>
  <c r="H29" i="13"/>
  <c r="B29" i="13"/>
  <c r="H25" i="13"/>
  <c r="B25" i="13"/>
  <c r="M24" i="13"/>
  <c r="H24" i="13"/>
  <c r="H23" i="13"/>
  <c r="M30" i="13"/>
  <c r="H30" i="13"/>
  <c r="B30" i="13"/>
  <c r="H22" i="13"/>
  <c r="H21" i="13"/>
  <c r="B21" i="13"/>
  <c r="N19" i="13"/>
  <c r="I19" i="13"/>
  <c r="D19" i="13"/>
  <c r="B13" i="13"/>
  <c r="I12" i="13"/>
  <c r="B12" i="13"/>
  <c r="B10" i="13"/>
  <c r="V6" i="13"/>
  <c r="F8" i="13"/>
  <c r="M8" i="13" s="1"/>
  <c r="V5" i="13"/>
  <c r="F7" i="13"/>
  <c r="O3" i="13" s="1"/>
  <c r="B7" i="13"/>
  <c r="V4" i="13"/>
  <c r="V3" i="13"/>
  <c r="F5" i="13"/>
  <c r="S1" i="13"/>
  <c r="R1" i="13"/>
  <c r="A1" i="13"/>
  <c r="A24" i="7"/>
  <c r="H11" i="7"/>
  <c r="H10" i="7"/>
  <c r="H9" i="7"/>
  <c r="H8" i="7"/>
  <c r="H7" i="7"/>
  <c r="H6" i="7"/>
  <c r="H5" i="7"/>
  <c r="C17" i="7"/>
  <c r="B11" i="7"/>
  <c r="B10" i="7"/>
  <c r="B9" i="7"/>
  <c r="B8" i="7"/>
  <c r="B7" i="7"/>
  <c r="P1" i="7"/>
  <c r="O1" i="7"/>
  <c r="D28" i="16" l="1"/>
  <c r="F28" i="16" s="1"/>
  <c r="D33" i="16"/>
  <c r="D24" i="16"/>
  <c r="E24" i="16" s="1"/>
  <c r="C13" i="16" s="1"/>
  <c r="E13" i="16" s="1"/>
  <c r="E25" i="17"/>
  <c r="D28" i="17"/>
  <c r="C8" i="17"/>
  <c r="C16" i="17"/>
  <c r="E16" i="17" s="1"/>
  <c r="D24" i="17"/>
  <c r="C8" i="16"/>
  <c r="D31" i="16"/>
  <c r="M14" i="16"/>
  <c r="E25" i="16"/>
  <c r="C10" i="16" s="1"/>
  <c r="E16" i="9"/>
  <c r="H7" i="6"/>
  <c r="I7" i="6" s="1"/>
  <c r="L7" i="9"/>
  <c r="M7" i="9" s="1"/>
  <c r="C11" i="16" l="1"/>
  <c r="C15" i="16"/>
  <c r="C15" i="17"/>
  <c r="E15" i="17" s="1"/>
  <c r="C10" i="17"/>
  <c r="E10" i="17" s="1"/>
  <c r="C19" i="16"/>
  <c r="C18" i="17"/>
  <c r="E18" i="17" s="1"/>
  <c r="M15" i="16"/>
  <c r="D37" i="16"/>
  <c r="D38" i="16" s="1"/>
  <c r="E28" i="16"/>
  <c r="C14" i="16" s="1"/>
  <c r="D26" i="16"/>
  <c r="C9" i="17"/>
  <c r="E9" i="17" s="1"/>
  <c r="E25" i="13" s="1"/>
  <c r="O25" i="13" s="1"/>
  <c r="D26" i="17"/>
  <c r="E24" i="17"/>
  <c r="C11" i="17" s="1"/>
  <c r="F28" i="17"/>
  <c r="E28" i="17"/>
  <c r="C14" i="17" s="1"/>
  <c r="D37" i="17"/>
  <c r="E8" i="17"/>
  <c r="C9" i="16"/>
  <c r="E9" i="16" s="1"/>
  <c r="G25" i="13" s="1"/>
  <c r="Q25" i="13" s="1"/>
  <c r="E8" i="16"/>
  <c r="C12" i="16" s="1"/>
  <c r="C18" i="16" s="1"/>
  <c r="C22" i="16" s="1"/>
  <c r="F12" i="16" s="1"/>
  <c r="D31" i="9"/>
  <c r="D33" i="9"/>
  <c r="C12" i="17" l="1"/>
  <c r="C17" i="17" s="1"/>
  <c r="C21" i="17" s="1"/>
  <c r="E21" i="17" s="1"/>
  <c r="C16" i="16"/>
  <c r="E16" i="16" s="1"/>
  <c r="E12" i="16"/>
  <c r="G30" i="13" s="1"/>
  <c r="C20" i="16"/>
  <c r="E20" i="16" s="1"/>
  <c r="C19" i="17"/>
  <c r="E19" i="17" s="1"/>
  <c r="E27" i="13" s="1"/>
  <c r="O27" i="13" s="1"/>
  <c r="G22" i="13"/>
  <c r="Q22" i="13" s="1"/>
  <c r="E22" i="13"/>
  <c r="O22" i="13" s="1"/>
  <c r="D29" i="16"/>
  <c r="E29" i="16" s="1"/>
  <c r="E14" i="16"/>
  <c r="C17" i="16"/>
  <c r="E17" i="16" s="1"/>
  <c r="E15" i="16"/>
  <c r="D29" i="17"/>
  <c r="E29" i="17" s="1"/>
  <c r="E14" i="17"/>
  <c r="E7" i="16"/>
  <c r="E10" i="16"/>
  <c r="D38" i="17"/>
  <c r="E38" i="17" s="1"/>
  <c r="E7" i="17"/>
  <c r="F24" i="17"/>
  <c r="C13" i="17"/>
  <c r="E13" i="17" s="1"/>
  <c r="E29" i="13" s="1"/>
  <c r="O29" i="13" s="1"/>
  <c r="E11" i="17"/>
  <c r="E23" i="13" s="1"/>
  <c r="O23" i="13" s="1"/>
  <c r="D40" i="16"/>
  <c r="E38" i="16"/>
  <c r="E19" i="16"/>
  <c r="E11" i="16"/>
  <c r="E25" i="9"/>
  <c r="C8" i="9"/>
  <c r="D24" i="9"/>
  <c r="D28" i="9"/>
  <c r="F28" i="9" s="1"/>
  <c r="E12" i="17" l="1"/>
  <c r="F12" i="17"/>
  <c r="G26" i="13"/>
  <c r="Q26" i="13" s="1"/>
  <c r="G27" i="13"/>
  <c r="Q27" i="13" s="1"/>
  <c r="C10" i="9"/>
  <c r="E10" i="9" s="1"/>
  <c r="Q30" i="13"/>
  <c r="E26" i="13"/>
  <c r="O26" i="13" s="1"/>
  <c r="C20" i="17"/>
  <c r="E20" i="17" s="1"/>
  <c r="E22" i="16"/>
  <c r="E18" i="16"/>
  <c r="E17" i="17"/>
  <c r="C18" i="9"/>
  <c r="C21" i="16"/>
  <c r="E21" i="16" s="1"/>
  <c r="G28" i="13" s="1"/>
  <c r="Q28" i="13" s="1"/>
  <c r="C15" i="9"/>
  <c r="E15" i="9" s="1"/>
  <c r="G23" i="13"/>
  <c r="Q23" i="13" s="1"/>
  <c r="G24" i="13"/>
  <c r="Q24" i="13" s="1"/>
  <c r="D40" i="17"/>
  <c r="E40" i="17" s="1"/>
  <c r="F40" i="17" s="1"/>
  <c r="E21" i="13" s="1"/>
  <c r="O21" i="13" s="1"/>
  <c r="E40" i="16"/>
  <c r="F40" i="16" s="1"/>
  <c r="G21" i="13" s="1"/>
  <c r="Q21" i="13" s="1"/>
  <c r="E35" i="16"/>
  <c r="E28" i="9"/>
  <c r="C14" i="9" s="1"/>
  <c r="D37" i="9"/>
  <c r="C9" i="9"/>
  <c r="E9" i="9" s="1"/>
  <c r="E8" i="9"/>
  <c r="E24" i="9"/>
  <c r="C11" i="9" s="1"/>
  <c r="D26" i="9"/>
  <c r="E30" i="13" l="1"/>
  <c r="O30" i="13" s="1"/>
  <c r="D22" i="13"/>
  <c r="N22" i="13" s="1"/>
  <c r="C12" i="9"/>
  <c r="D25" i="13"/>
  <c r="N25" i="13" s="1"/>
  <c r="G31" i="13"/>
  <c r="Q31" i="13" s="1"/>
  <c r="Q32" i="13" s="1"/>
  <c r="Q33" i="13" s="1"/>
  <c r="E31" i="13"/>
  <c r="O31" i="13" s="1"/>
  <c r="C19" i="9"/>
  <c r="E19" i="9" s="1"/>
  <c r="D27" i="13" s="1"/>
  <c r="N27" i="13" s="1"/>
  <c r="D29" i="9"/>
  <c r="E29" i="9" s="1"/>
  <c r="E14" i="9"/>
  <c r="E18" i="9"/>
  <c r="E11" i="9"/>
  <c r="D23" i="13" s="1"/>
  <c r="F24" i="9"/>
  <c r="D38" i="9"/>
  <c r="E7" i="9"/>
  <c r="C13" i="9"/>
  <c r="E13" i="9" s="1"/>
  <c r="O32" i="13" l="1"/>
  <c r="O33" i="13" s="1"/>
  <c r="D26" i="13"/>
  <c r="N26" i="13" s="1"/>
  <c r="D29" i="13"/>
  <c r="N29" i="13" s="1"/>
  <c r="E12" i="9"/>
  <c r="C17" i="9"/>
  <c r="C21" i="9" s="1"/>
  <c r="E21" i="9" s="1"/>
  <c r="C20" i="9"/>
  <c r="E20" i="9" s="1"/>
  <c r="N23" i="13"/>
  <c r="E38" i="9"/>
  <c r="D40" i="9"/>
  <c r="E40" i="9" s="1"/>
  <c r="F40" i="9" s="1"/>
  <c r="D21" i="13" s="1"/>
  <c r="E6" i="7"/>
  <c r="D6" i="7"/>
  <c r="E5" i="7"/>
  <c r="D5" i="7"/>
  <c r="F12" i="9" l="1"/>
  <c r="D30" i="13" s="1"/>
  <c r="N30" i="13" s="1"/>
  <c r="E17" i="9"/>
  <c r="D31" i="13" s="1"/>
  <c r="N21" i="13"/>
  <c r="M14" i="6"/>
  <c r="F25" i="6" l="1"/>
  <c r="E25" i="6"/>
  <c r="C10" i="6" l="1"/>
  <c r="C19" i="6"/>
  <c r="E19" i="6" s="1"/>
  <c r="C15" i="6"/>
  <c r="E15" i="6" s="1"/>
  <c r="N31" i="13"/>
  <c r="M15" i="6"/>
  <c r="D33" i="6"/>
  <c r="D31" i="6"/>
  <c r="C9" i="6"/>
  <c r="E9" i="6" s="1"/>
  <c r="F25" i="13" s="1"/>
  <c r="P25" i="13" s="1"/>
  <c r="D24" i="6"/>
  <c r="E24" i="6" s="1"/>
  <c r="C8" i="6"/>
  <c r="E8" i="6" s="1"/>
  <c r="D28" i="6"/>
  <c r="C11" i="6" l="1"/>
  <c r="C12" i="6"/>
  <c r="C18" i="6" s="1"/>
  <c r="C22" i="6" s="1"/>
  <c r="F12" i="6" s="1"/>
  <c r="C17" i="6"/>
  <c r="E17" i="6" s="1"/>
  <c r="F22" i="13"/>
  <c r="P22" i="13" s="1"/>
  <c r="D37" i="6"/>
  <c r="F28" i="6"/>
  <c r="E10" i="6"/>
  <c r="D26" i="6"/>
  <c r="E28" i="6"/>
  <c r="C13" i="6"/>
  <c r="E13" i="6" s="1"/>
  <c r="F29" i="13" s="1"/>
  <c r="P29" i="13" s="1"/>
  <c r="E12" i="6" l="1"/>
  <c r="F30" i="13" s="1"/>
  <c r="P30" i="13" s="1"/>
  <c r="E18" i="6"/>
  <c r="F31" i="13" s="1"/>
  <c r="P31" i="13" s="1"/>
  <c r="E22" i="6"/>
  <c r="C14" i="6"/>
  <c r="C16" i="6" s="1"/>
  <c r="E16" i="6" s="1"/>
  <c r="C20" i="6"/>
  <c r="D29" i="6"/>
  <c r="E29" i="6" s="1"/>
  <c r="D38" i="6"/>
  <c r="D40" i="6" s="1"/>
  <c r="E7" i="6"/>
  <c r="E11" i="6"/>
  <c r="F23" i="13" s="1"/>
  <c r="P23" i="13" s="1"/>
  <c r="E20" i="6" l="1"/>
  <c r="F27" i="13" s="1"/>
  <c r="P27" i="13" s="1"/>
  <c r="C21" i="6"/>
  <c r="E21" i="6" s="1"/>
  <c r="F28" i="13" s="1"/>
  <c r="P28" i="13" s="1"/>
  <c r="E14" i="6"/>
  <c r="F26" i="13" s="1"/>
  <c r="P26" i="13" s="1"/>
  <c r="F24" i="13"/>
  <c r="P24" i="13" s="1"/>
  <c r="E38" i="6"/>
  <c r="E40" i="6"/>
  <c r="F40" i="6" s="1"/>
  <c r="F21" i="13" s="1"/>
  <c r="P21" i="13" s="1"/>
  <c r="E35" i="6"/>
  <c r="P32" i="13" l="1"/>
  <c r="P33" i="13" s="1"/>
  <c r="N32" i="13"/>
  <c r="N33" i="13" s="1"/>
</calcChain>
</file>

<file path=xl/comments1.xml><?xml version="1.0" encoding="utf-8"?>
<comments xmlns="http://schemas.openxmlformats.org/spreadsheetml/2006/main">
  <authors>
    <author>Rene Magerböck</author>
  </authors>
  <commentList>
    <comment ref="B13" authorId="0">
      <text>
        <r>
          <rPr>
            <b/>
            <sz val="9"/>
            <color indexed="81"/>
            <rFont val="Tahoma"/>
            <family val="2"/>
          </rPr>
          <t xml:space="preserve">Flachdach / Flat Roof:
- Keine Verbindung zum Untergrund / No connection to unterground
- UK - Rahmen / Subconstruction-frame
- Alle Unterkonstruktionen miteinander verbunden / All subconstructions are connected to each other
</t>
        </r>
        <r>
          <rPr>
            <sz val="9"/>
            <color indexed="81"/>
            <rFont val="Tahoma"/>
            <family val="2"/>
          </rPr>
          <t xml:space="preserve">
</t>
        </r>
      </text>
    </comment>
    <comment ref="D20" authorId="0">
      <text>
        <r>
          <rPr>
            <sz val="9"/>
            <color indexed="81"/>
            <rFont val="Tahoma"/>
            <family val="2"/>
          </rPr>
          <t xml:space="preserve">Berechnung mit WPC Unterkonstruktion
// Calculation with WPC subconstruction
</t>
        </r>
      </text>
    </comment>
    <comment ref="E20" authorId="0">
      <text>
        <r>
          <rPr>
            <sz val="9"/>
            <color indexed="81"/>
            <rFont val="Tahoma"/>
            <family val="2"/>
          </rPr>
          <t xml:space="preserve">Berechnung mit WPC Unterkonstruktion
// Calculation with WPC subconstruction
</t>
        </r>
      </text>
    </comment>
    <comment ref="I20" authorId="0">
      <text>
        <r>
          <rPr>
            <sz val="9"/>
            <color indexed="81"/>
            <rFont val="Tahoma"/>
            <family val="2"/>
          </rPr>
          <t xml:space="preserve">Berechnung mit WPC Unterkonstruktion
// Calculation with WPC subconstruction
</t>
        </r>
      </text>
    </comment>
    <comment ref="J20" authorId="0">
      <text>
        <r>
          <rPr>
            <sz val="9"/>
            <color indexed="81"/>
            <rFont val="Tahoma"/>
            <family val="2"/>
          </rPr>
          <t xml:space="preserve">Berechnung mit WPC Unterkonstruktion
// Calculation with WPC subconstruction
</t>
        </r>
      </text>
    </comment>
    <comment ref="N20" authorId="0">
      <text>
        <r>
          <rPr>
            <sz val="9"/>
            <color indexed="81"/>
            <rFont val="Tahoma"/>
            <family val="2"/>
          </rPr>
          <t xml:space="preserve">Berechnung mit WPC Unterkonstruktion
// Calculation with WPC subconstruction
</t>
        </r>
      </text>
    </comment>
    <comment ref="O20" authorId="0">
      <text>
        <r>
          <rPr>
            <sz val="9"/>
            <color indexed="81"/>
            <rFont val="Tahoma"/>
            <family val="2"/>
          </rPr>
          <t xml:space="preserve">Berechnung mit WPC Unterkonstruktion
// Calculation with WPC subconstruction
</t>
        </r>
      </text>
    </comment>
  </commentList>
</comments>
</file>

<file path=xl/sharedStrings.xml><?xml version="1.0" encoding="utf-8"?>
<sst xmlns="http://schemas.openxmlformats.org/spreadsheetml/2006/main" count="323" uniqueCount="53">
  <si>
    <t>Abmessungen</t>
  </si>
  <si>
    <t>Breite</t>
  </si>
  <si>
    <t>Länge</t>
  </si>
  <si>
    <t>Diele</t>
  </si>
  <si>
    <t>Grundstück</t>
  </si>
  <si>
    <t>Meter</t>
  </si>
  <si>
    <t>Stück</t>
  </si>
  <si>
    <t>Endklammern</t>
  </si>
  <si>
    <t>Packungsgröße</t>
  </si>
  <si>
    <t>Packungen</t>
  </si>
  <si>
    <t>Endkappen</t>
  </si>
  <si>
    <t>Dielenabstand</t>
  </si>
  <si>
    <t>Verschnitt</t>
  </si>
  <si>
    <t>Stück pro Länge</t>
  </si>
  <si>
    <t>UK Abstand</t>
  </si>
  <si>
    <t>Endklammer</t>
  </si>
  <si>
    <t>Mittelklammer</t>
  </si>
  <si>
    <t>Stück Dielen</t>
  </si>
  <si>
    <t>UK</t>
  </si>
  <si>
    <t>Schnellverlegeclip</t>
  </si>
  <si>
    <t>Reihen Dielen</t>
  </si>
  <si>
    <t>Reihen UK</t>
  </si>
  <si>
    <t xml:space="preserve">UK  Länge </t>
  </si>
  <si>
    <t>Justierfüsse</t>
  </si>
  <si>
    <t>Reihen an Mittelklammern Alu</t>
  </si>
  <si>
    <t>Mittelklammer Alu</t>
  </si>
  <si>
    <t>Justierfuß</t>
  </si>
  <si>
    <t>Justierfußabstand</t>
  </si>
  <si>
    <t xml:space="preserve"> =&gt;</t>
  </si>
  <si>
    <t>4 Meter</t>
  </si>
  <si>
    <t>6 Meter</t>
  </si>
  <si>
    <t>X</t>
  </si>
  <si>
    <t>Montagewinkel</t>
  </si>
  <si>
    <t>Montageset</t>
  </si>
  <si>
    <t>Verbindungsplatte</t>
  </si>
  <si>
    <t>kein Flachdach</t>
  </si>
  <si>
    <t>Flachdach</t>
  </si>
  <si>
    <t>Justierfußschrauben</t>
  </si>
  <si>
    <t>Montageset mit Justierfuß</t>
  </si>
  <si>
    <t>RELAZZO PRODUCT CONFIGURATOR (English)</t>
  </si>
  <si>
    <t>RELAZZO PRODUKTKONFIGURATOR (Deutsch)</t>
  </si>
  <si>
    <t>DEUTSCH</t>
  </si>
  <si>
    <t>Dielenlänge</t>
  </si>
  <si>
    <r>
      <t xml:space="preserve">23x169
</t>
    </r>
    <r>
      <rPr>
        <sz val="11"/>
        <color theme="1"/>
        <rFont val="Calibri"/>
        <family val="2"/>
        <scheme val="minor"/>
      </rPr>
      <t>NATURO
FINELLO</t>
    </r>
  </si>
  <si>
    <r>
      <t xml:space="preserve">30x140
</t>
    </r>
    <r>
      <rPr>
        <sz val="11"/>
        <color theme="1"/>
        <rFont val="Calibri"/>
        <family val="2"/>
        <scheme val="minor"/>
      </rPr>
      <t>PURO
PURO SOLID</t>
    </r>
  </si>
  <si>
    <r>
      <t xml:space="preserve">23x140
</t>
    </r>
    <r>
      <rPr>
        <sz val="11"/>
        <color theme="1"/>
        <rFont val="Calibri"/>
        <family val="2"/>
        <scheme val="minor"/>
      </rPr>
      <t>CORO
CALMO</t>
    </r>
  </si>
  <si>
    <r>
      <t xml:space="preserve">30x194
</t>
    </r>
    <r>
      <rPr>
        <sz val="11"/>
        <color theme="1"/>
        <rFont val="Calibri"/>
        <family val="2"/>
        <scheme val="minor"/>
      </rPr>
      <t>PURO PRO</t>
    </r>
  </si>
  <si>
    <t>Rahmebauset</t>
  </si>
  <si>
    <t>WPC</t>
  </si>
  <si>
    <t>KEIN</t>
  </si>
  <si>
    <t>n.a.</t>
  </si>
  <si>
    <t>CHF</t>
  </si>
  <si>
    <t>CHF/m²</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</si>
</sst>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 &quot;m&quot;"/>
    <numFmt numFmtId="165" formatCode="#,###.00\ &quot;m&quot;"/>
    <numFmt numFmtId="166" formatCode="#,##0.0\ &quot;m²&quot;\ "/>
  </numFmts>
  <fonts count="12" x14ac:knownFonts="1">
    <font>
      <sz val="11"/>
      <color theme="1"/>
      <name val="Calibri"/>
      <family val="2"/>
      <scheme val="minor"/>
    </font>
    <font>
      <b/>
      <sz val="11"/>
      <color theme="1"/>
      <name val="Calibri"/>
      <family val="2"/>
      <scheme val="minor"/>
    </font>
    <font>
      <sz val="18"/>
      <color theme="1"/>
      <name val="Calibri"/>
      <family val="2"/>
      <scheme val="minor"/>
    </font>
    <font>
      <sz val="11"/>
      <color rgb="FFFF33CC"/>
      <name val="Arial"/>
      <family val="2"/>
    </font>
    <font>
      <b/>
      <sz val="14"/>
      <color rgb="FFFF33CC"/>
      <name val="Arial"/>
      <family val="2"/>
    </font>
    <font>
      <u/>
      <sz val="11"/>
      <color theme="10"/>
      <name val="Calibri"/>
      <family val="2"/>
    </font>
    <font>
      <sz val="9"/>
      <color indexed="81"/>
      <name val="Tahoma"/>
      <family val="2"/>
    </font>
    <font>
      <b/>
      <sz val="9"/>
      <color indexed="81"/>
      <name val="Tahoma"/>
      <family val="2"/>
    </font>
    <font>
      <b/>
      <sz val="18"/>
      <color rgb="FFFF33CC"/>
      <name val="Arial"/>
      <family val="2"/>
    </font>
    <font>
      <sz val="11"/>
      <color rgb="FFFF33CC"/>
      <name val="Cambria"/>
      <family val="1"/>
      <scheme val="major"/>
    </font>
    <font>
      <b/>
      <sz val="18"/>
      <color rgb="FFFF33CC"/>
      <name val="Calibri"/>
      <family val="2"/>
      <scheme val="minor"/>
    </font>
    <font>
      <u/>
      <sz val="11"/>
      <color theme="1"/>
      <name val="Calibri"/>
      <family val="2"/>
    </font>
  </fonts>
  <fills count="11">
    <fill>
      <patternFill patternType="none"/>
    </fill>
    <fill>
      <patternFill patternType="gray125"/>
    </fill>
    <fill>
      <patternFill patternType="solid">
        <fgColor rgb="FFFFFF00"/>
        <bgColor indexed="64"/>
      </patternFill>
    </fill>
    <fill>
      <patternFill patternType="solid">
        <fgColor rgb="FF00B050"/>
        <bgColor indexed="64"/>
      </patternFill>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theme="0" tint="-4.9989318521683403E-2"/>
        <bgColor indexed="64"/>
      </patternFill>
    </fill>
    <fill>
      <gradientFill degree="90">
        <stop position="0">
          <color theme="0"/>
        </stop>
        <stop position="1">
          <color theme="0" tint="-0.1490218817712943"/>
        </stop>
      </gradientFill>
    </fill>
    <fill>
      <patternFill patternType="solid">
        <fgColor theme="2" tint="-9.9978637043366805E-2"/>
        <bgColor indexed="64"/>
      </patternFill>
    </fill>
    <fill>
      <patternFill patternType="solid">
        <fgColor theme="4" tint="0.79998168889431442"/>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style="thin">
        <color indexed="64"/>
      </left>
      <right/>
      <top style="medium">
        <color indexed="64"/>
      </top>
      <bottom/>
      <diagonal/>
    </border>
    <border>
      <left style="medium">
        <color indexed="64"/>
      </left>
      <right style="medium">
        <color indexed="64"/>
      </right>
      <top style="thin">
        <color indexed="64"/>
      </top>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s>
  <cellStyleXfs count="2">
    <xf numFmtId="0" fontId="0" fillId="0" borderId="0"/>
    <xf numFmtId="0" fontId="5" fillId="0" borderId="0" applyNumberFormat="0" applyFill="0" applyBorder="0" applyAlignment="0" applyProtection="0">
      <alignment vertical="top"/>
      <protection locked="0"/>
    </xf>
  </cellStyleXfs>
  <cellXfs count="204">
    <xf numFmtId="0" fontId="0" fillId="0" borderId="0" xfId="0"/>
    <xf numFmtId="0" fontId="0" fillId="4" borderId="0" xfId="0" applyFill="1" applyBorder="1" applyProtection="1"/>
    <xf numFmtId="0" fontId="0" fillId="4" borderId="19" xfId="0" applyFill="1" applyBorder="1" applyProtection="1"/>
    <xf numFmtId="0" fontId="0" fillId="4" borderId="16" xfId="0" applyFill="1" applyBorder="1" applyProtection="1"/>
    <xf numFmtId="0" fontId="1" fillId="4" borderId="0" xfId="0" applyFont="1" applyFill="1" applyBorder="1" applyProtection="1"/>
    <xf numFmtId="0" fontId="0" fillId="4" borderId="15" xfId="0" applyFill="1" applyBorder="1" applyProtection="1"/>
    <xf numFmtId="0" fontId="0" fillId="0" borderId="0" xfId="0" applyProtection="1"/>
    <xf numFmtId="0" fontId="1" fillId="0" borderId="8" xfId="0" applyFont="1" applyBorder="1" applyProtection="1"/>
    <xf numFmtId="0" fontId="0" fillId="0" borderId="2" xfId="0" applyBorder="1" applyProtection="1"/>
    <xf numFmtId="0" fontId="0" fillId="2" borderId="4" xfId="0" applyFill="1" applyBorder="1" applyProtection="1"/>
    <xf numFmtId="0" fontId="0" fillId="0" borderId="4" xfId="0" applyBorder="1" applyProtection="1"/>
    <xf numFmtId="0" fontId="0" fillId="0" borderId="1" xfId="0" applyBorder="1" applyProtection="1"/>
    <xf numFmtId="0" fontId="0" fillId="2" borderId="1" xfId="0" applyFill="1" applyBorder="1" applyProtection="1"/>
    <xf numFmtId="0" fontId="0" fillId="0" borderId="9" xfId="0" applyBorder="1" applyProtection="1"/>
    <xf numFmtId="0" fontId="0" fillId="0" borderId="5" xfId="0" applyBorder="1" applyProtection="1"/>
    <xf numFmtId="0" fontId="0" fillId="2" borderId="7" xfId="0" applyFill="1" applyBorder="1" applyProtection="1"/>
    <xf numFmtId="0" fontId="1" fillId="0" borderId="10" xfId="0" applyFont="1" applyBorder="1" applyProtection="1"/>
    <xf numFmtId="0" fontId="0" fillId="0" borderId="11" xfId="0" applyBorder="1" applyProtection="1"/>
    <xf numFmtId="0" fontId="0" fillId="0" borderId="7" xfId="0" applyBorder="1" applyProtection="1"/>
    <xf numFmtId="0" fontId="1" fillId="0" borderId="2" xfId="0" applyFont="1" applyBorder="1" applyProtection="1"/>
    <xf numFmtId="0" fontId="0" fillId="0" borderId="3" xfId="0" applyBorder="1" applyProtection="1"/>
    <xf numFmtId="0" fontId="0" fillId="0" borderId="6" xfId="0" applyBorder="1" applyProtection="1"/>
    <xf numFmtId="0" fontId="0" fillId="0" borderId="1" xfId="0" applyFill="1" applyBorder="1" applyProtection="1"/>
    <xf numFmtId="0" fontId="0" fillId="0" borderId="0" xfId="0" applyBorder="1" applyProtection="1"/>
    <xf numFmtId="0" fontId="0" fillId="0" borderId="0" xfId="0" applyFill="1" applyBorder="1" applyProtection="1"/>
    <xf numFmtId="0" fontId="0" fillId="4" borderId="2" xfId="0" applyFill="1" applyBorder="1" applyProtection="1"/>
    <xf numFmtId="0" fontId="0" fillId="4" borderId="3" xfId="0" applyFill="1" applyBorder="1" applyProtection="1"/>
    <xf numFmtId="0" fontId="0" fillId="3" borderId="4" xfId="0" applyFill="1" applyBorder="1" applyAlignment="1" applyProtection="1">
      <alignment horizontal="center"/>
    </xf>
    <xf numFmtId="0" fontId="0" fillId="4" borderId="10" xfId="0" applyFill="1" applyBorder="1" applyProtection="1"/>
    <xf numFmtId="0" fontId="0" fillId="4" borderId="1" xfId="0" applyFill="1" applyBorder="1" applyProtection="1"/>
    <xf numFmtId="0" fontId="0" fillId="4" borderId="0" xfId="0" applyFill="1" applyProtection="1"/>
    <xf numFmtId="0" fontId="0" fillId="3" borderId="11" xfId="0" applyFill="1" applyBorder="1" applyAlignment="1" applyProtection="1">
      <alignment horizontal="center"/>
    </xf>
    <xf numFmtId="0" fontId="0" fillId="3" borderId="11" xfId="0" applyFill="1" applyBorder="1" applyAlignment="1" applyProtection="1">
      <alignment horizontal="center" vertical="center"/>
    </xf>
    <xf numFmtId="0" fontId="0" fillId="4" borderId="13" xfId="0" applyFill="1" applyBorder="1" applyProtection="1"/>
    <xf numFmtId="0" fontId="0" fillId="4" borderId="18" xfId="0" applyFill="1" applyBorder="1" applyProtection="1"/>
    <xf numFmtId="0" fontId="0" fillId="3" borderId="14" xfId="0" applyFill="1" applyBorder="1" applyAlignment="1" applyProtection="1">
      <alignment horizontal="center" vertical="center"/>
    </xf>
    <xf numFmtId="0" fontId="0" fillId="4" borderId="5" xfId="0" applyFill="1" applyBorder="1" applyProtection="1"/>
    <xf numFmtId="0" fontId="0" fillId="4" borderId="6" xfId="0" applyFill="1" applyBorder="1" applyProtection="1"/>
    <xf numFmtId="0" fontId="0" fillId="3" borderId="7" xfId="0" applyFill="1" applyBorder="1" applyAlignment="1" applyProtection="1">
      <alignment horizontal="center" vertical="center"/>
    </xf>
    <xf numFmtId="0" fontId="0" fillId="2" borderId="21" xfId="0" applyFill="1" applyBorder="1" applyAlignment="1" applyProtection="1">
      <alignment horizontal="center" vertical="center"/>
    </xf>
    <xf numFmtId="0" fontId="0" fillId="5" borderId="12" xfId="0" applyFill="1" applyBorder="1" applyAlignment="1" applyProtection="1">
      <alignment horizontal="center" vertical="center" wrapText="1"/>
    </xf>
    <xf numFmtId="0" fontId="0" fillId="2" borderId="0" xfId="0" applyFill="1" applyBorder="1" applyProtection="1"/>
    <xf numFmtId="0" fontId="0" fillId="4" borderId="0" xfId="0" applyFill="1" applyBorder="1"/>
    <xf numFmtId="0" fontId="0" fillId="4" borderId="20" xfId="0" applyFill="1" applyBorder="1"/>
    <xf numFmtId="0" fontId="0" fillId="4" borderId="0" xfId="0" applyFill="1" applyBorder="1" applyAlignment="1" applyProtection="1">
      <alignment horizontal="center"/>
    </xf>
    <xf numFmtId="0" fontId="0" fillId="4" borderId="0" xfId="0" applyFill="1" applyBorder="1" applyAlignment="1" applyProtection="1">
      <alignment wrapText="1"/>
    </xf>
    <xf numFmtId="0" fontId="0" fillId="0" borderId="36" xfId="0" applyFill="1" applyBorder="1" applyProtection="1"/>
    <xf numFmtId="0" fontId="0" fillId="2" borderId="36" xfId="0" applyFill="1" applyBorder="1" applyProtection="1"/>
    <xf numFmtId="0" fontId="0" fillId="3" borderId="0" xfId="0" applyFill="1" applyBorder="1" applyAlignment="1" applyProtection="1">
      <alignment horizontal="center" vertical="center"/>
    </xf>
    <xf numFmtId="0" fontId="0" fillId="4" borderId="35" xfId="0" applyFill="1" applyBorder="1" applyProtection="1"/>
    <xf numFmtId="0" fontId="0" fillId="4" borderId="34" xfId="0" applyFill="1" applyBorder="1" applyProtection="1"/>
    <xf numFmtId="0" fontId="0" fillId="4" borderId="35" xfId="0" applyFill="1" applyBorder="1"/>
    <xf numFmtId="0" fontId="0" fillId="4" borderId="33" xfId="0" applyFill="1" applyBorder="1"/>
    <xf numFmtId="0" fontId="0" fillId="4" borderId="16" xfId="0" applyFill="1" applyBorder="1"/>
    <xf numFmtId="0" fontId="0" fillId="4" borderId="17" xfId="0" applyFill="1" applyBorder="1"/>
    <xf numFmtId="0" fontId="0" fillId="6" borderId="22" xfId="0" applyFill="1" applyBorder="1" applyAlignment="1" applyProtection="1">
      <alignment horizontal="center" vertical="center"/>
    </xf>
    <xf numFmtId="0" fontId="0" fillId="4" borderId="19" xfId="0" applyFill="1" applyBorder="1"/>
    <xf numFmtId="0" fontId="0" fillId="4" borderId="15" xfId="0" applyFill="1" applyBorder="1" applyAlignment="1"/>
    <xf numFmtId="0" fontId="4" fillId="8" borderId="34" xfId="0" applyFont="1" applyFill="1" applyBorder="1" applyAlignment="1" applyProtection="1">
      <alignment vertical="center"/>
    </xf>
    <xf numFmtId="0" fontId="3" fillId="8" borderId="35" xfId="0" applyFont="1" applyFill="1" applyBorder="1" applyProtection="1"/>
    <xf numFmtId="0" fontId="0" fillId="8" borderId="35" xfId="0" applyFill="1" applyBorder="1" applyProtection="1"/>
    <xf numFmtId="0" fontId="1" fillId="4" borderId="0" xfId="0" applyFont="1" applyFill="1" applyBorder="1" applyAlignment="1" applyProtection="1">
      <alignment horizontal="center"/>
    </xf>
    <xf numFmtId="0" fontId="2" fillId="4" borderId="19" xfId="0" applyFont="1" applyFill="1" applyBorder="1" applyAlignment="1" applyProtection="1">
      <alignment vertical="center" wrapText="1"/>
    </xf>
    <xf numFmtId="0" fontId="2" fillId="4" borderId="0" xfId="0" applyFont="1" applyFill="1" applyBorder="1" applyAlignment="1" applyProtection="1">
      <alignment vertical="center"/>
    </xf>
    <xf numFmtId="0" fontId="3" fillId="8" borderId="39" xfId="0" applyFont="1" applyFill="1" applyBorder="1" applyProtection="1"/>
    <xf numFmtId="0" fontId="0" fillId="8" borderId="39" xfId="0" applyFill="1" applyBorder="1" applyProtection="1"/>
    <xf numFmtId="0" fontId="0" fillId="2" borderId="37" xfId="0" applyFill="1" applyBorder="1" applyAlignment="1" applyProtection="1">
      <alignment horizontal="center" vertical="center"/>
      <protection locked="0"/>
    </xf>
    <xf numFmtId="0" fontId="4" fillId="8" borderId="38" xfId="0" applyFont="1" applyFill="1" applyBorder="1" applyAlignment="1" applyProtection="1">
      <alignment vertical="center"/>
    </xf>
    <xf numFmtId="0" fontId="0" fillId="4" borderId="39" xfId="0" applyFill="1" applyBorder="1" applyProtection="1"/>
    <xf numFmtId="0" fontId="0" fillId="2" borderId="39" xfId="0" applyFill="1" applyBorder="1" applyAlignment="1" applyProtection="1">
      <alignment horizontal="center" vertical="center"/>
    </xf>
    <xf numFmtId="0" fontId="0" fillId="6" borderId="40" xfId="0" applyFill="1" applyBorder="1" applyAlignment="1" applyProtection="1">
      <alignment horizontal="center" vertical="center"/>
    </xf>
    <xf numFmtId="0" fontId="0" fillId="4" borderId="0" xfId="0" applyFill="1"/>
    <xf numFmtId="0" fontId="8" fillId="8" borderId="0" xfId="0" applyFont="1" applyFill="1" applyBorder="1" applyAlignment="1" applyProtection="1">
      <alignment vertical="center"/>
    </xf>
    <xf numFmtId="0" fontId="0" fillId="4" borderId="0" xfId="0" applyFill="1" applyBorder="1" applyAlignment="1" applyProtection="1">
      <alignment vertical="center"/>
    </xf>
    <xf numFmtId="0" fontId="2" fillId="4" borderId="0" xfId="0" applyFont="1" applyFill="1" applyBorder="1" applyAlignment="1" applyProtection="1">
      <alignment horizontal="center" vertical="center"/>
    </xf>
    <xf numFmtId="0" fontId="1" fillId="2" borderId="0" xfId="0" applyFont="1" applyFill="1" applyBorder="1" applyAlignment="1" applyProtection="1">
      <alignment horizontal="center" vertical="center"/>
      <protection locked="0"/>
    </xf>
    <xf numFmtId="0" fontId="1" fillId="7" borderId="0" xfId="0" applyFont="1" applyFill="1" applyBorder="1" applyAlignment="1" applyProtection="1">
      <alignment horizontal="left" vertical="center"/>
    </xf>
    <xf numFmtId="0" fontId="1" fillId="7" borderId="0" xfId="0" applyFont="1" applyFill="1" applyBorder="1" applyAlignment="1" applyProtection="1">
      <alignment horizontal="center" vertical="center"/>
    </xf>
    <xf numFmtId="0" fontId="9" fillId="8" borderId="39" xfId="0" applyFont="1" applyFill="1" applyBorder="1" applyProtection="1"/>
    <xf numFmtId="0" fontId="10" fillId="8" borderId="38" xfId="0" applyFont="1" applyFill="1" applyBorder="1" applyAlignment="1" applyProtection="1">
      <alignment vertical="center"/>
    </xf>
    <xf numFmtId="0" fontId="0" fillId="4" borderId="0" xfId="0" applyFont="1" applyFill="1" applyBorder="1" applyAlignment="1" applyProtection="1">
      <alignment vertical="center"/>
    </xf>
    <xf numFmtId="0" fontId="1" fillId="4" borderId="0" xfId="0" applyFont="1" applyFill="1" applyBorder="1" applyAlignment="1" applyProtection="1">
      <alignment horizontal="left" vertical="center"/>
    </xf>
    <xf numFmtId="0" fontId="0" fillId="4" borderId="0" xfId="0" applyFont="1" applyFill="1" applyBorder="1" applyAlignment="1" applyProtection="1">
      <alignment horizontal="left" vertical="center"/>
    </xf>
    <xf numFmtId="164" fontId="1" fillId="2" borderId="0" xfId="0" applyNumberFormat="1" applyFont="1" applyFill="1" applyBorder="1" applyAlignment="1" applyProtection="1">
      <alignment horizontal="center" vertical="center"/>
      <protection locked="0"/>
    </xf>
    <xf numFmtId="165" fontId="1" fillId="2" borderId="0" xfId="0" applyNumberFormat="1" applyFont="1" applyFill="1" applyBorder="1" applyAlignment="1" applyProtection="1">
      <alignment horizontal="center" vertical="center"/>
      <protection locked="0"/>
    </xf>
    <xf numFmtId="0" fontId="10" fillId="8" borderId="0" xfId="0" applyFont="1" applyFill="1" applyBorder="1" applyAlignment="1" applyProtection="1">
      <alignment horizontal="left" vertical="center"/>
    </xf>
    <xf numFmtId="0" fontId="1" fillId="5" borderId="12" xfId="0" applyFont="1" applyFill="1" applyBorder="1" applyAlignment="1" applyProtection="1">
      <alignment horizontal="center" vertical="center" wrapText="1"/>
    </xf>
    <xf numFmtId="0" fontId="1" fillId="5" borderId="33" xfId="0" applyFont="1" applyFill="1" applyBorder="1" applyAlignment="1" applyProtection="1">
      <alignment horizontal="center" vertical="center" wrapText="1"/>
    </xf>
    <xf numFmtId="0" fontId="1" fillId="6" borderId="29" xfId="0" applyFont="1" applyFill="1" applyBorder="1" applyAlignment="1" applyProtection="1">
      <alignment horizontal="center" vertical="center"/>
    </xf>
    <xf numFmtId="0" fontId="1" fillId="6" borderId="23" xfId="0" applyFont="1" applyFill="1" applyBorder="1" applyAlignment="1" applyProtection="1">
      <alignment horizontal="center" vertical="center"/>
    </xf>
    <xf numFmtId="0" fontId="1" fillId="6" borderId="32" xfId="0" applyFont="1" applyFill="1" applyBorder="1" applyAlignment="1" applyProtection="1">
      <alignment horizontal="center" vertical="center"/>
    </xf>
    <xf numFmtId="0" fontId="4" fillId="8" borderId="39" xfId="0" applyFont="1" applyFill="1" applyBorder="1" applyAlignment="1" applyProtection="1">
      <alignment vertical="center"/>
    </xf>
    <xf numFmtId="0" fontId="0" fillId="9" borderId="10" xfId="0" applyFill="1" applyBorder="1" applyProtection="1"/>
    <xf numFmtId="0" fontId="0" fillId="9" borderId="42" xfId="0" applyFill="1" applyBorder="1" applyProtection="1"/>
    <xf numFmtId="0" fontId="0" fillId="9" borderId="27" xfId="0" applyFill="1" applyBorder="1" applyProtection="1"/>
    <xf numFmtId="0" fontId="0" fillId="10" borderId="41" xfId="0" applyFill="1" applyBorder="1" applyProtection="1"/>
    <xf numFmtId="0" fontId="0" fillId="10" borderId="32" xfId="0" applyFill="1" applyBorder="1" applyProtection="1"/>
    <xf numFmtId="0" fontId="0" fillId="10" borderId="25" xfId="0" applyFill="1" applyBorder="1" applyProtection="1"/>
    <xf numFmtId="0" fontId="0" fillId="9" borderId="13" xfId="0" applyFill="1" applyBorder="1" applyProtection="1"/>
    <xf numFmtId="0" fontId="0" fillId="10" borderId="2" xfId="0" applyFill="1" applyBorder="1" applyProtection="1"/>
    <xf numFmtId="0" fontId="0" fillId="10" borderId="44" xfId="0" applyFill="1" applyBorder="1" applyProtection="1"/>
    <xf numFmtId="0" fontId="0" fillId="10" borderId="13" xfId="0" applyFill="1" applyBorder="1" applyProtection="1"/>
    <xf numFmtId="0" fontId="0" fillId="10" borderId="46" xfId="0" applyFill="1" applyBorder="1" applyProtection="1"/>
    <xf numFmtId="0" fontId="0" fillId="9" borderId="50" xfId="0" applyFill="1" applyBorder="1" applyProtection="1"/>
    <xf numFmtId="0" fontId="0" fillId="10" borderId="45" xfId="0" applyFill="1" applyBorder="1" applyProtection="1"/>
    <xf numFmtId="0" fontId="0" fillId="10" borderId="50" xfId="0" applyFill="1" applyBorder="1" applyProtection="1"/>
    <xf numFmtId="0" fontId="0" fillId="10" borderId="51" xfId="0" applyFill="1" applyBorder="1" applyProtection="1"/>
    <xf numFmtId="0" fontId="1" fillId="6" borderId="52" xfId="0" applyFont="1" applyFill="1" applyBorder="1" applyAlignment="1" applyProtection="1">
      <alignment horizontal="center" vertical="center"/>
    </xf>
    <xf numFmtId="0" fontId="1" fillId="6" borderId="12" xfId="0" applyFont="1" applyFill="1" applyBorder="1" applyAlignment="1" applyProtection="1">
      <alignment horizontal="center" vertical="center"/>
    </xf>
    <xf numFmtId="0" fontId="0" fillId="9" borderId="53" xfId="0" applyFill="1" applyBorder="1" applyProtection="1"/>
    <xf numFmtId="0" fontId="0" fillId="10" borderId="27" xfId="0" applyFill="1" applyBorder="1" applyProtection="1"/>
    <xf numFmtId="0" fontId="0" fillId="10" borderId="53" xfId="0" applyFill="1" applyBorder="1" applyProtection="1"/>
    <xf numFmtId="0" fontId="0" fillId="9" borderId="27" xfId="0" applyFont="1" applyFill="1" applyBorder="1" applyAlignment="1" applyProtection="1">
      <alignment horizontal="left"/>
    </xf>
    <xf numFmtId="0" fontId="0" fillId="9" borderId="25" xfId="0" applyFont="1" applyFill="1" applyBorder="1" applyAlignment="1" applyProtection="1">
      <alignment horizontal="left"/>
    </xf>
    <xf numFmtId="0" fontId="0" fillId="9" borderId="53" xfId="0" applyFont="1" applyFill="1" applyBorder="1" applyAlignment="1" applyProtection="1">
      <alignment horizontal="left"/>
    </xf>
    <xf numFmtId="0" fontId="0" fillId="10" borderId="35" xfId="0" applyFill="1" applyBorder="1" applyProtection="1"/>
    <xf numFmtId="0" fontId="0" fillId="9" borderId="30" xfId="0" applyFont="1" applyFill="1" applyBorder="1" applyAlignment="1" applyProtection="1">
      <alignment horizontal="left"/>
    </xf>
    <xf numFmtId="0" fontId="1" fillId="5" borderId="34" xfId="0" applyFont="1" applyFill="1" applyBorder="1" applyAlignment="1" applyProtection="1">
      <alignment horizontal="center" vertical="center" wrapText="1"/>
    </xf>
    <xf numFmtId="0" fontId="0" fillId="9" borderId="29" xfId="0" applyFont="1" applyFill="1" applyBorder="1" applyAlignment="1" applyProtection="1">
      <alignment horizontal="left"/>
    </xf>
    <xf numFmtId="0" fontId="0" fillId="10" borderId="23" xfId="0" applyFill="1" applyBorder="1" applyProtection="1"/>
    <xf numFmtId="0" fontId="0" fillId="9" borderId="32" xfId="0" applyFont="1" applyFill="1" applyBorder="1" applyAlignment="1" applyProtection="1">
      <alignment horizontal="left"/>
    </xf>
    <xf numFmtId="0" fontId="0" fillId="9" borderId="44" xfId="0" applyFont="1" applyFill="1" applyBorder="1" applyAlignment="1" applyProtection="1">
      <alignment horizontal="left"/>
    </xf>
    <xf numFmtId="0" fontId="0" fillId="3" borderId="50" xfId="0" applyFill="1" applyBorder="1" applyAlignment="1" applyProtection="1">
      <alignment horizontal="center" vertical="center"/>
    </xf>
    <xf numFmtId="0" fontId="0" fillId="3" borderId="1" xfId="0" applyFill="1" applyBorder="1" applyProtection="1"/>
    <xf numFmtId="0" fontId="0" fillId="10" borderId="12" xfId="0" applyFill="1" applyBorder="1" applyAlignment="1" applyProtection="1">
      <alignment horizontal="center" vertical="center" wrapText="1"/>
    </xf>
    <xf numFmtId="0" fontId="1" fillId="6" borderId="29" xfId="0" applyFont="1" applyFill="1" applyBorder="1" applyAlignment="1" applyProtection="1">
      <alignment horizontal="center"/>
    </xf>
    <xf numFmtId="0" fontId="1" fillId="6" borderId="32" xfId="0" applyFont="1" applyFill="1" applyBorder="1" applyAlignment="1" applyProtection="1">
      <alignment horizontal="center"/>
    </xf>
    <xf numFmtId="0" fontId="1" fillId="6" borderId="44" xfId="0" applyFont="1" applyFill="1" applyBorder="1" applyAlignment="1" applyProtection="1">
      <alignment horizontal="center"/>
    </xf>
    <xf numFmtId="0" fontId="1" fillId="6" borderId="41" xfId="0" applyFont="1" applyFill="1" applyBorder="1" applyAlignment="1" applyProtection="1">
      <alignment horizontal="center"/>
    </xf>
    <xf numFmtId="0" fontId="1" fillId="6" borderId="23" xfId="0" applyFont="1" applyFill="1" applyBorder="1" applyAlignment="1" applyProtection="1">
      <alignment horizontal="center"/>
    </xf>
    <xf numFmtId="0" fontId="0" fillId="2" borderId="35" xfId="0" applyFont="1" applyFill="1" applyBorder="1" applyAlignment="1" applyProtection="1">
      <alignment horizontal="center" vertical="center"/>
      <protection locked="0"/>
    </xf>
    <xf numFmtId="0" fontId="11" fillId="2" borderId="0" xfId="1" applyFont="1" applyFill="1" applyBorder="1" applyAlignment="1" applyProtection="1"/>
    <xf numFmtId="0" fontId="0" fillId="9" borderId="8" xfId="0" applyFont="1" applyFill="1" applyBorder="1" applyAlignment="1" applyProtection="1"/>
    <xf numFmtId="0" fontId="0" fillId="10" borderId="52" xfId="0" applyFill="1" applyBorder="1" applyProtection="1"/>
    <xf numFmtId="0" fontId="1" fillId="6" borderId="52" xfId="0" applyFont="1" applyFill="1" applyBorder="1" applyAlignment="1" applyProtection="1">
      <alignment horizontal="center"/>
    </xf>
    <xf numFmtId="0" fontId="0" fillId="10" borderId="29" xfId="0" applyFill="1" applyBorder="1" applyProtection="1"/>
    <xf numFmtId="0" fontId="0" fillId="9" borderId="8" xfId="0" applyFont="1" applyFill="1" applyBorder="1" applyAlignment="1" applyProtection="1">
      <alignment horizontal="left"/>
    </xf>
    <xf numFmtId="0" fontId="0" fillId="9" borderId="9" xfId="0" applyFont="1" applyFill="1" applyBorder="1" applyAlignment="1" applyProtection="1">
      <alignment horizontal="left"/>
    </xf>
    <xf numFmtId="0" fontId="0" fillId="10" borderId="56" xfId="0" applyFill="1" applyBorder="1" applyProtection="1"/>
    <xf numFmtId="0" fontId="0" fillId="9" borderId="56" xfId="0" applyFont="1" applyFill="1" applyBorder="1" applyAlignment="1" applyProtection="1">
      <alignment horizontal="left"/>
    </xf>
    <xf numFmtId="0" fontId="0" fillId="10" borderId="57" xfId="0" applyFill="1" applyBorder="1" applyProtection="1"/>
    <xf numFmtId="0" fontId="0" fillId="10" borderId="24" xfId="0" applyFill="1" applyBorder="1" applyProtection="1"/>
    <xf numFmtId="0" fontId="0" fillId="10" borderId="54" xfId="0" applyFill="1" applyBorder="1" applyProtection="1"/>
    <xf numFmtId="0" fontId="0" fillId="9" borderId="24" xfId="0" applyFill="1" applyBorder="1" applyProtection="1"/>
    <xf numFmtId="0" fontId="0" fillId="9" borderId="9" xfId="0" applyFont="1" applyFill="1" applyBorder="1" applyAlignment="1" applyProtection="1"/>
    <xf numFmtId="0" fontId="0" fillId="2" borderId="29" xfId="0" applyFill="1" applyBorder="1" applyAlignment="1" applyProtection="1">
      <alignment horizontal="center"/>
      <protection locked="0"/>
    </xf>
    <xf numFmtId="0" fontId="0" fillId="2" borderId="32" xfId="0" applyFill="1" applyBorder="1" applyAlignment="1" applyProtection="1">
      <alignment horizontal="center"/>
      <protection locked="0"/>
    </xf>
    <xf numFmtId="0" fontId="0" fillId="2" borderId="44" xfId="0" applyFill="1" applyBorder="1" applyAlignment="1" applyProtection="1">
      <alignment horizontal="center"/>
      <protection locked="0"/>
    </xf>
    <xf numFmtId="0" fontId="0" fillId="2" borderId="41" xfId="0" applyFill="1" applyBorder="1" applyAlignment="1" applyProtection="1">
      <alignment horizontal="center"/>
      <protection locked="0"/>
    </xf>
    <xf numFmtId="0" fontId="0" fillId="0" borderId="23" xfId="0" applyFill="1" applyBorder="1" applyProtection="1"/>
    <xf numFmtId="0" fontId="0" fillId="2" borderId="52" xfId="0" applyFill="1" applyBorder="1" applyAlignment="1" applyProtection="1">
      <alignment horizontal="center"/>
      <protection locked="0"/>
    </xf>
    <xf numFmtId="0" fontId="0" fillId="2" borderId="23" xfId="0" applyFill="1" applyBorder="1" applyAlignment="1" applyProtection="1">
      <alignment horizontal="center"/>
      <protection locked="0"/>
    </xf>
    <xf numFmtId="0" fontId="0" fillId="5" borderId="35" xfId="0" applyFill="1" applyBorder="1" applyAlignment="1" applyProtection="1">
      <alignment horizontal="center" vertical="center" wrapText="1"/>
    </xf>
    <xf numFmtId="0" fontId="1" fillId="6" borderId="27" xfId="0" applyFont="1" applyFill="1" applyBorder="1" applyAlignment="1" applyProtection="1">
      <alignment horizontal="center"/>
    </xf>
    <xf numFmtId="0" fontId="1" fillId="6" borderId="30" xfId="0" applyFont="1" applyFill="1" applyBorder="1" applyAlignment="1" applyProtection="1">
      <alignment horizontal="center"/>
    </xf>
    <xf numFmtId="0" fontId="1" fillId="6" borderId="21" xfId="0" applyFont="1" applyFill="1" applyBorder="1" applyAlignment="1" applyProtection="1">
      <alignment horizontal="center"/>
    </xf>
    <xf numFmtId="0" fontId="1" fillId="6" borderId="58" xfId="0" applyFont="1" applyFill="1" applyBorder="1" applyAlignment="1" applyProtection="1">
      <alignment horizontal="center"/>
    </xf>
    <xf numFmtId="0" fontId="1" fillId="6" borderId="25" xfId="0" applyFont="1" applyFill="1" applyBorder="1" applyAlignment="1" applyProtection="1">
      <alignment horizontal="center"/>
    </xf>
    <xf numFmtId="0" fontId="1" fillId="6" borderId="53" xfId="0" applyFont="1" applyFill="1" applyBorder="1" applyAlignment="1" applyProtection="1">
      <alignment horizontal="center"/>
    </xf>
    <xf numFmtId="0" fontId="0" fillId="10" borderId="33" xfId="0" applyFill="1" applyBorder="1" applyAlignment="1" applyProtection="1">
      <alignment horizontal="center" vertical="center" wrapText="1"/>
    </xf>
    <xf numFmtId="0" fontId="0" fillId="5" borderId="32" xfId="0" applyFill="1" applyBorder="1" applyAlignment="1" applyProtection="1">
      <alignment horizontal="center"/>
    </xf>
    <xf numFmtId="0" fontId="1" fillId="6" borderId="28" xfId="0" applyFont="1" applyFill="1" applyBorder="1" applyAlignment="1" applyProtection="1">
      <alignment horizontal="center"/>
    </xf>
    <xf numFmtId="0" fontId="1" fillId="6" borderId="55" xfId="0" applyFont="1" applyFill="1" applyBorder="1" applyAlignment="1" applyProtection="1">
      <alignment horizontal="center"/>
    </xf>
    <xf numFmtId="0" fontId="1" fillId="6" borderId="26" xfId="0" applyFont="1" applyFill="1" applyBorder="1" applyAlignment="1" applyProtection="1">
      <alignment horizontal="center"/>
    </xf>
    <xf numFmtId="0" fontId="1" fillId="6" borderId="12" xfId="0" applyFont="1" applyFill="1" applyBorder="1" applyAlignment="1" applyProtection="1">
      <alignment horizontal="center"/>
    </xf>
    <xf numFmtId="0" fontId="1" fillId="6" borderId="33" xfId="0" applyFont="1" applyFill="1" applyBorder="1" applyAlignment="1" applyProtection="1">
      <alignment horizontal="center"/>
    </xf>
    <xf numFmtId="0" fontId="1" fillId="6" borderId="31" xfId="0" applyFont="1" applyFill="1" applyBorder="1" applyAlignment="1" applyProtection="1">
      <alignment horizontal="center"/>
    </xf>
    <xf numFmtId="0" fontId="1" fillId="3" borderId="47" xfId="0" applyFont="1" applyFill="1" applyBorder="1" applyAlignment="1" applyProtection="1">
      <alignment horizontal="center"/>
    </xf>
    <xf numFmtId="0" fontId="1" fillId="3" borderId="48" xfId="0" applyFont="1" applyFill="1" applyBorder="1" applyAlignment="1" applyProtection="1">
      <alignment horizontal="center"/>
    </xf>
    <xf numFmtId="0" fontId="1" fillId="3" borderId="49" xfId="0" applyFont="1" applyFill="1" applyBorder="1" applyAlignment="1" applyProtection="1">
      <alignment horizontal="center"/>
    </xf>
    <xf numFmtId="0" fontId="1" fillId="6" borderId="5" xfId="0" applyFont="1" applyFill="1" applyBorder="1" applyAlignment="1" applyProtection="1">
      <alignment horizontal="center"/>
    </xf>
    <xf numFmtId="0" fontId="1" fillId="6" borderId="6" xfId="0" applyFont="1" applyFill="1" applyBorder="1" applyAlignment="1" applyProtection="1">
      <alignment horizontal="center"/>
    </xf>
    <xf numFmtId="0" fontId="1" fillId="6" borderId="7" xfId="0" applyFont="1" applyFill="1" applyBorder="1" applyAlignment="1" applyProtection="1">
      <alignment horizontal="center"/>
    </xf>
    <xf numFmtId="0" fontId="0" fillId="2" borderId="8" xfId="0" applyFill="1" applyBorder="1" applyAlignment="1" applyProtection="1">
      <alignment horizontal="center"/>
      <protection locked="0"/>
    </xf>
    <xf numFmtId="0" fontId="0" fillId="2" borderId="28" xfId="0" applyFill="1" applyBorder="1" applyAlignment="1" applyProtection="1">
      <alignment horizontal="center"/>
      <protection locked="0"/>
    </xf>
    <xf numFmtId="0" fontId="0" fillId="2" borderId="54" xfId="0" applyFill="1" applyBorder="1" applyAlignment="1" applyProtection="1">
      <alignment horizontal="center"/>
      <protection locked="0"/>
    </xf>
    <xf numFmtId="0" fontId="0" fillId="2" borderId="55" xfId="0" applyFill="1" applyBorder="1" applyAlignment="1" applyProtection="1">
      <alignment horizontal="center"/>
      <protection locked="0"/>
    </xf>
    <xf numFmtId="0" fontId="0" fillId="2" borderId="24" xfId="0" applyFill="1" applyBorder="1" applyAlignment="1" applyProtection="1">
      <alignment horizontal="center"/>
      <protection locked="0"/>
    </xf>
    <xf numFmtId="0" fontId="0" fillId="2" borderId="26" xfId="0" applyFill="1" applyBorder="1" applyAlignment="1" applyProtection="1">
      <alignment horizontal="center"/>
      <protection locked="0"/>
    </xf>
    <xf numFmtId="0" fontId="0" fillId="2" borderId="34" xfId="0" applyFill="1" applyBorder="1" applyAlignment="1" applyProtection="1">
      <alignment horizontal="center"/>
      <protection locked="0"/>
    </xf>
    <xf numFmtId="0" fontId="0" fillId="2" borderId="12" xfId="0" applyFill="1" applyBorder="1" applyAlignment="1" applyProtection="1">
      <alignment horizontal="center"/>
      <protection locked="0"/>
    </xf>
    <xf numFmtId="0" fontId="0" fillId="2" borderId="33" xfId="0" applyFill="1" applyBorder="1" applyAlignment="1" applyProtection="1">
      <alignment horizontal="center"/>
      <protection locked="0"/>
    </xf>
    <xf numFmtId="0" fontId="0" fillId="2" borderId="9" xfId="0" applyFill="1" applyBorder="1" applyAlignment="1" applyProtection="1">
      <alignment horizontal="center"/>
      <protection locked="0"/>
    </xf>
    <xf numFmtId="0" fontId="0" fillId="2" borderId="31" xfId="0" applyFill="1" applyBorder="1" applyAlignment="1" applyProtection="1">
      <alignment horizontal="center"/>
      <protection locked="0"/>
    </xf>
    <xf numFmtId="0" fontId="2" fillId="4" borderId="0" xfId="0" applyFont="1" applyFill="1" applyBorder="1" applyAlignment="1" applyProtection="1">
      <alignment horizontal="right" vertical="center"/>
    </xf>
    <xf numFmtId="0" fontId="0" fillId="9" borderId="2" xfId="0" applyFont="1" applyFill="1" applyBorder="1" applyAlignment="1" applyProtection="1">
      <alignment horizontal="left"/>
    </xf>
    <xf numFmtId="0" fontId="0" fillId="9" borderId="45" xfId="0" applyFont="1" applyFill="1" applyBorder="1" applyAlignment="1" applyProtection="1">
      <alignment horizontal="left"/>
    </xf>
    <xf numFmtId="0" fontId="0" fillId="9" borderId="5" xfId="0" applyFont="1" applyFill="1" applyBorder="1" applyAlignment="1" applyProtection="1">
      <alignment horizontal="left"/>
    </xf>
    <xf numFmtId="0" fontId="0" fillId="9" borderId="43" xfId="0" applyFont="1" applyFill="1" applyBorder="1" applyAlignment="1" applyProtection="1">
      <alignment horizontal="left"/>
    </xf>
    <xf numFmtId="0" fontId="0" fillId="10" borderId="24" xfId="0" applyFill="1" applyBorder="1" applyAlignment="1" applyProtection="1">
      <alignment horizontal="left"/>
    </xf>
    <xf numFmtId="0" fontId="0" fillId="10" borderId="26" xfId="0" applyFill="1" applyBorder="1" applyAlignment="1" applyProtection="1">
      <alignment horizontal="left"/>
    </xf>
    <xf numFmtId="0" fontId="0" fillId="9" borderId="13" xfId="0" applyFont="1" applyFill="1" applyBorder="1" applyAlignment="1" applyProtection="1">
      <alignment horizontal="left"/>
    </xf>
    <xf numFmtId="0" fontId="0" fillId="9" borderId="50" xfId="0" applyFont="1" applyFill="1" applyBorder="1" applyAlignment="1" applyProtection="1">
      <alignment horizontal="left"/>
    </xf>
    <xf numFmtId="0" fontId="1" fillId="4" borderId="16" xfId="0" applyFont="1" applyFill="1" applyBorder="1" applyAlignment="1" applyProtection="1">
      <alignment horizontal="center"/>
    </xf>
    <xf numFmtId="0" fontId="1" fillId="4" borderId="0" xfId="0" applyFont="1" applyFill="1" applyBorder="1" applyAlignment="1" applyProtection="1">
      <alignment horizontal="center"/>
    </xf>
    <xf numFmtId="0" fontId="0" fillId="4" borderId="0" xfId="0" applyFill="1" applyBorder="1" applyAlignment="1" applyProtection="1">
      <alignment horizontal="center" vertical="center"/>
    </xf>
    <xf numFmtId="166" fontId="0" fillId="6" borderId="34" xfId="0" applyNumberFormat="1" applyFill="1" applyBorder="1" applyAlignment="1" applyProtection="1">
      <alignment horizontal="center" vertical="center"/>
    </xf>
    <xf numFmtId="166" fontId="0" fillId="6" borderId="35" xfId="0" applyNumberFormat="1" applyFill="1" applyBorder="1" applyAlignment="1" applyProtection="1">
      <alignment horizontal="center" vertical="center"/>
    </xf>
    <xf numFmtId="166" fontId="0" fillId="6" borderId="33" xfId="0" applyNumberFormat="1" applyFill="1" applyBorder="1" applyAlignment="1" applyProtection="1">
      <alignment horizontal="center" vertical="center"/>
    </xf>
    <xf numFmtId="166" fontId="0" fillId="6" borderId="15" xfId="0" applyNumberFormat="1" applyFill="1" applyBorder="1" applyAlignment="1" applyProtection="1">
      <alignment horizontal="center" vertical="center"/>
    </xf>
    <xf numFmtId="166" fontId="0" fillId="6" borderId="16" xfId="0" applyNumberFormat="1" applyFill="1" applyBorder="1" applyAlignment="1" applyProtection="1">
      <alignment horizontal="center" vertical="center"/>
    </xf>
    <xf numFmtId="166" fontId="0" fillId="6" borderId="17" xfId="0" applyNumberFormat="1" applyFill="1" applyBorder="1" applyAlignment="1" applyProtection="1">
      <alignment horizontal="center" vertical="center"/>
    </xf>
    <xf numFmtId="0" fontId="0" fillId="0" borderId="0" xfId="0" applyBorder="1" applyAlignment="1" applyProtection="1">
      <alignment horizontal="left" vertical="center"/>
    </xf>
    <xf numFmtId="0" fontId="0" fillId="0" borderId="0" xfId="0" applyBorder="1" applyAlignment="1" applyProtection="1">
      <alignment horizontal="center" vertical="center"/>
    </xf>
  </cellXfs>
  <cellStyles count="2">
    <cellStyle name="Hyperlink" xfId="1" builtinId="8"/>
    <cellStyle name="Standard" xfId="0" builtinId="0"/>
  </cellStyles>
  <dxfs count="0"/>
  <tableStyles count="0" defaultTableStyle="TableStyleMedium9" defaultPivotStyle="PivotStyleLight16"/>
  <colors>
    <mruColors>
      <color rgb="FFFF33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13</xdr:col>
      <xdr:colOff>26203</xdr:colOff>
      <xdr:row>3</xdr:row>
      <xdr:rowOff>213853</xdr:rowOff>
    </xdr:from>
    <xdr:to>
      <xdr:col>16</xdr:col>
      <xdr:colOff>347672</xdr:colOff>
      <xdr:row>12</xdr:row>
      <xdr:rowOff>14291</xdr:rowOff>
    </xdr:to>
    <xdr:grpSp>
      <xdr:nvGrpSpPr>
        <xdr:cNvPr id="2" name="Gruppieren 1"/>
        <xdr:cNvGrpSpPr/>
      </xdr:nvGrpSpPr>
      <xdr:grpSpPr>
        <a:xfrm>
          <a:off x="10396547" y="1464009"/>
          <a:ext cx="2559844" cy="1824501"/>
          <a:chOff x="4208037" y="1357977"/>
          <a:chExt cx="1265655" cy="1733570"/>
        </a:xfrm>
      </xdr:grpSpPr>
      <xdr:cxnSp macro="">
        <xdr:nvCxnSpPr>
          <xdr:cNvPr id="3" name="Gerade Verbindung mit Pfeil 2"/>
          <xdr:cNvCxnSpPr/>
        </xdr:nvCxnSpPr>
        <xdr:spPr>
          <a:xfrm>
            <a:off x="4208037" y="1536557"/>
            <a:ext cx="0" cy="155499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xnSp macro="">
        <xdr:nvCxnSpPr>
          <xdr:cNvPr id="5" name="Gerade Verbindung mit Pfeil 4"/>
          <xdr:cNvCxnSpPr/>
        </xdr:nvCxnSpPr>
        <xdr:spPr>
          <a:xfrm>
            <a:off x="4310799" y="1357977"/>
            <a:ext cx="1162893" cy="439"/>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grpSp>
    <xdr:clientData/>
  </xdr:twoCellAnchor>
  <xdr:oneCellAnchor>
    <xdr:from>
      <xdr:col>1</xdr:col>
      <xdr:colOff>357187</xdr:colOff>
      <xdr:row>35</xdr:row>
      <xdr:rowOff>11907</xdr:rowOff>
    </xdr:from>
    <xdr:ext cx="10467975" cy="8451057"/>
    <xdr:sp macro="" textlink="">
      <xdr:nvSpPr>
        <xdr:cNvPr id="11" name="Textfeld 10"/>
        <xdr:cNvSpPr txBox="1"/>
      </xdr:nvSpPr>
      <xdr:spPr>
        <a:xfrm>
          <a:off x="719137" y="6831807"/>
          <a:ext cx="10467975" cy="8451057"/>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r>
            <a:rPr lang="de-DE" sz="1100" b="1" cap="all">
              <a:solidFill>
                <a:schemeClr val="dk1"/>
              </a:solidFill>
              <a:latin typeface="+mn-lt"/>
              <a:ea typeface="+mn-ea"/>
              <a:cs typeface="+mn-cs"/>
            </a:rPr>
            <a:t>Nutzungsbedingungen</a:t>
          </a:r>
          <a:endParaRPr lang="de-DE" sz="1100" b="1">
            <a:solidFill>
              <a:schemeClr val="dk1"/>
            </a:solidFill>
            <a:latin typeface="+mn-lt"/>
            <a:ea typeface="+mn-ea"/>
            <a:cs typeface="+mn-cs"/>
          </a:endParaRPr>
        </a:p>
        <a:p>
          <a:r>
            <a:rPr lang="de-DE" sz="1100" b="1">
              <a:solidFill>
                <a:schemeClr val="dk1"/>
              </a:solidFill>
              <a:latin typeface="+mn-lt"/>
              <a:ea typeface="+mn-ea"/>
              <a:cs typeface="+mn-cs"/>
            </a:rPr>
            <a:t>Nutzungsbedingungen REHAU RELAZZO Terrassenkonfigurator</a:t>
          </a:r>
          <a:endParaRPr lang="de-DE" sz="1100">
            <a:solidFill>
              <a:schemeClr val="dk1"/>
            </a:solidFill>
            <a:latin typeface="+mn-lt"/>
            <a:ea typeface="+mn-ea"/>
            <a:cs typeface="+mn-cs"/>
          </a:endParaRPr>
        </a:p>
        <a:p>
          <a:r>
            <a:rPr lang="de-DE" sz="1100" b="1">
              <a:solidFill>
                <a:schemeClr val="dk1"/>
              </a:solidFill>
              <a:latin typeface="+mn-lt"/>
              <a:ea typeface="+mn-ea"/>
              <a:cs typeface="+mn-cs"/>
            </a:rPr>
            <a:t>Haftungsausschluss</a:t>
          </a:r>
          <a:endParaRPr lang="de-DE" sz="1100">
            <a:solidFill>
              <a:schemeClr val="dk1"/>
            </a:solidFill>
            <a:latin typeface="+mn-lt"/>
            <a:ea typeface="+mn-ea"/>
            <a:cs typeface="+mn-cs"/>
          </a:endParaRPr>
        </a:p>
        <a:p>
          <a:r>
            <a:rPr lang="de-DE" sz="1100">
              <a:solidFill>
                <a:schemeClr val="dk1"/>
              </a:solidFill>
              <a:latin typeface="+mn-lt"/>
              <a:ea typeface="+mn-ea"/>
              <a:cs typeface="+mn-cs"/>
            </a:rPr>
            <a:t>Alle Daten innerhalb dieser Webseite/Software sind urheberrechtlich geschützt und dürfen nicht ohne Zustimmung der Rechteinhaber verwendet werden. Die durch das Urheberrecht begründeten Rechte, insbesondere die der Übersetzung, des Nachdruckes, der Entnahme von Abbildungen, der Funksendungen, der Wiedergabe auf fotomechanischem oder ähnlichem Wege und der Speicherung in Datenverarbeitungsunterlagen, bleiben vorbehalten.</a:t>
          </a:r>
          <a:br>
            <a:rPr lang="de-DE" sz="1100">
              <a:solidFill>
                <a:schemeClr val="dk1"/>
              </a:solidFill>
              <a:latin typeface="+mn-lt"/>
              <a:ea typeface="+mn-ea"/>
              <a:cs typeface="+mn-cs"/>
            </a:rPr>
          </a:br>
          <a:r>
            <a:rPr lang="de-DE" sz="1100">
              <a:solidFill>
                <a:schemeClr val="dk1"/>
              </a:solidFill>
              <a:latin typeface="+mn-lt"/>
              <a:ea typeface="+mn-ea"/>
              <a:cs typeface="+mn-cs"/>
            </a:rPr>
            <a:t>Kontakt: E-mail: </a:t>
          </a:r>
          <a:r>
            <a:rPr lang="de-DE" sz="1100" u="sng">
              <a:solidFill>
                <a:schemeClr val="dk1"/>
              </a:solidFill>
              <a:latin typeface="+mn-lt"/>
              <a:ea typeface="+mn-ea"/>
              <a:cs typeface="+mn-cs"/>
              <a:hlinkClick xmlns:r="http://schemas.openxmlformats.org/officeDocument/2006/relationships" r:id=""/>
            </a:rPr>
            <a:t>info@rehau.com</a:t>
          </a:r>
          <a:endParaRPr lang="de-DE" sz="1100">
            <a:solidFill>
              <a:schemeClr val="dk1"/>
            </a:solidFill>
            <a:latin typeface="+mn-lt"/>
            <a:ea typeface="+mn-ea"/>
            <a:cs typeface="+mn-cs"/>
          </a:endParaRPr>
        </a:p>
        <a:p>
          <a:r>
            <a:rPr lang="de-DE" sz="1100" b="1">
              <a:solidFill>
                <a:schemeClr val="dk1"/>
              </a:solidFill>
              <a:latin typeface="+mn-lt"/>
              <a:ea typeface="+mn-ea"/>
              <a:cs typeface="+mn-cs"/>
            </a:rPr>
            <a:t>Datenschutz</a:t>
          </a:r>
          <a:endParaRPr lang="de-DE" sz="1100">
            <a:solidFill>
              <a:schemeClr val="dk1"/>
            </a:solidFill>
            <a:latin typeface="+mn-lt"/>
            <a:ea typeface="+mn-ea"/>
            <a:cs typeface="+mn-cs"/>
          </a:endParaRPr>
        </a:p>
        <a:p>
          <a:r>
            <a:rPr lang="de-DE" sz="1100">
              <a:solidFill>
                <a:schemeClr val="dk1"/>
              </a:solidFill>
              <a:latin typeface="+mn-lt"/>
              <a:ea typeface="+mn-ea"/>
              <a:cs typeface="+mn-cs"/>
            </a:rPr>
            <a:t>Alle innerhalb dieser Webseite/Software vom Anwender eingegebenen und verarbeiteten Daten werden vertraulich gem. § 5 BDSG behandelt. Die Daten werden nur zur Bearbeitung der Anfragen benutzt und nur an von dem Nutzer im Rahmen der Nutzung dieser Website/ Software konkretisierte Dritte weitergegeben (§ 287 Abs. 1 BDSG) An andere Dritte werden die Daten nicht weitergegeben.</a:t>
          </a:r>
        </a:p>
        <a:p>
          <a:r>
            <a:rPr lang="de-DE" sz="1100" b="1">
              <a:solidFill>
                <a:schemeClr val="dk1"/>
              </a:solidFill>
              <a:latin typeface="+mn-lt"/>
              <a:ea typeface="+mn-ea"/>
              <a:cs typeface="+mn-cs"/>
            </a:rPr>
            <a:t>Haftungsausschluss</a:t>
          </a:r>
          <a:endParaRPr lang="de-DE" sz="1100">
            <a:solidFill>
              <a:schemeClr val="dk1"/>
            </a:solidFill>
            <a:latin typeface="+mn-lt"/>
            <a:ea typeface="+mn-ea"/>
            <a:cs typeface="+mn-cs"/>
          </a:endParaRPr>
        </a:p>
        <a:p>
          <a:r>
            <a:rPr lang="de-DE" sz="1100">
              <a:solidFill>
                <a:schemeClr val="dk1"/>
              </a:solidFill>
              <a:latin typeface="+mn-lt"/>
              <a:ea typeface="+mn-ea"/>
              <a:cs typeface="+mn-cs"/>
            </a:rPr>
            <a:t>Die Webseite/Software wird von den Herausgebern kostenlos zur Verfügung gestellt. Die Herausgeber übernehmen keinerlei Gewähr für die Aktualität, Korrektheit, zu Grunde gelegte Berechnungsformeln, Berechnungsergebnisse, Vollständigkeit oder Qualität der bereitgestellten Informationen. Haftungsansprüche gegen die Herausgeber und Autoren, die sich auf Schäden materieller oder ideeller Art beziehen, welche durch die Nutzung der dargebotenen Informationen bzw. durch Nutzung fehlerhafter oder unvollständiger Informationen verursacht wurden, sind grundsätzlich ausgeschlossen, sofern seitens der Herausgeber und Autoren kein nachweislich vorsätzliches oder grob fahrlässiges Verschulden vorliegt. Die Herausgeber behalten es sich ausdrücklich vor, Teile der Seiten oder den gesamten Inhalt ohne gesonderte Ankündigung zu verändern, zu ergänzen oder die Veröffentlichung zeitweise oder endgültig einzustellen.</a:t>
          </a:r>
        </a:p>
        <a:p>
          <a:r>
            <a:rPr lang="de-DE" sz="1100">
              <a:solidFill>
                <a:schemeClr val="dk1"/>
              </a:solidFill>
              <a:latin typeface="+mn-lt"/>
              <a:ea typeface="+mn-ea"/>
              <a:cs typeface="+mn-cs"/>
            </a:rPr>
            <a:t>Aus der Veröffentlichung kann nicht entnommen werden, dass die verwendeten Bezeichnungen frei von Rechten Dritter sind. Sofern auf Verweisziele (“links”) direkt oder indirekt verwiesen wird, die außerhalb des Verantwortungsbereichs des Herausgebers/Autoren liegen, haften diese allenfalls dann, wenn sie von den Inhalten Kenntnis hatten, und es ihnen technisch möglich und zumutbar wäre, die Nutzung im Falle rechtswidriger Inhalte zu verhindern. Für darüber hinausgehende Inhalte und insbesondere für Schäden, die aus der Nutzung oder Nichtnutzung solcherart dargebotener Informationen entstehen, haftet allein der Anbieter dieser Seiten, nicht derjenige, der über Links auf die jeweilige Veröffentlichung lediglich verweist. Dieser Haftungsausschluss ist als Teil des Internetangebots dieser Seite zu betrachten. Sofern Teile oder einzelne Formulierungen dieses Textes der geltenden Rechtslage nicht, nicht mehr oder nicht vollständig entsprechen sollten, bleiben die übrigen Teile des Dokuments in ihrem Inhalt und ihrer Gültigkeit davon unberührt.</a:t>
          </a:r>
        </a:p>
        <a:p>
          <a:endParaRPr lang="de-DE" sz="1100">
            <a:solidFill>
              <a:schemeClr val="dk1"/>
            </a:solidFill>
            <a:latin typeface="+mn-lt"/>
            <a:ea typeface="+mn-ea"/>
            <a:cs typeface="+mn-cs"/>
          </a:endParaRPr>
        </a:p>
        <a:p>
          <a:endParaRPr lang="de-DE" sz="1100">
            <a:solidFill>
              <a:schemeClr val="dk1"/>
            </a:solidFill>
            <a:latin typeface="+mn-lt"/>
            <a:ea typeface="+mn-ea"/>
            <a:cs typeface="+mn-cs"/>
          </a:endParaRPr>
        </a:p>
        <a:p>
          <a:r>
            <a:rPr lang="de-DE" sz="1100" b="1">
              <a:solidFill>
                <a:schemeClr val="dk1"/>
              </a:solidFill>
              <a:latin typeface="+mn-lt"/>
              <a:ea typeface="+mn-ea"/>
              <a:cs typeface="+mn-cs"/>
            </a:rPr>
            <a:t>TERMS OF USE</a:t>
          </a:r>
          <a:endParaRPr lang="de-DE" b="1"/>
        </a:p>
        <a:p>
          <a:r>
            <a:rPr lang="de-DE" sz="1100" b="1">
              <a:solidFill>
                <a:schemeClr val="dk1"/>
              </a:solidFill>
              <a:latin typeface="+mn-lt"/>
              <a:ea typeface="+mn-ea"/>
              <a:cs typeface="+mn-cs"/>
            </a:rPr>
            <a:t>Disclaimer</a:t>
          </a:r>
          <a:endParaRPr lang="de-DE" sz="1100">
            <a:solidFill>
              <a:schemeClr val="dk1"/>
            </a:solidFill>
            <a:latin typeface="+mn-lt"/>
            <a:ea typeface="+mn-ea"/>
            <a:cs typeface="+mn-cs"/>
          </a:endParaRPr>
        </a:p>
        <a:p>
          <a:r>
            <a:rPr lang="de-DE" sz="1100">
              <a:solidFill>
                <a:schemeClr val="dk1"/>
              </a:solidFill>
              <a:latin typeface="+mn-lt"/>
              <a:ea typeface="+mn-ea"/>
              <a:cs typeface="+mn-cs"/>
            </a:rPr>
            <a:t>All the information contained within this website/software is protected under copyright laws and may not be used without the permission of the respective owners. All rights protected under copyright remain reserved in particular reproductions, copying, removal of images, electronic transmission, making copies on photocopying machines or by similar means and storing in data processing systems.</a:t>
          </a:r>
          <a:br>
            <a:rPr lang="de-DE" sz="1100">
              <a:solidFill>
                <a:schemeClr val="dk1"/>
              </a:solidFill>
              <a:latin typeface="+mn-lt"/>
              <a:ea typeface="+mn-ea"/>
              <a:cs typeface="+mn-cs"/>
            </a:rPr>
          </a:br>
          <a:r>
            <a:rPr lang="de-DE" sz="1100">
              <a:solidFill>
                <a:schemeClr val="dk1"/>
              </a:solidFill>
              <a:latin typeface="+mn-lt"/>
              <a:ea typeface="+mn-ea"/>
              <a:cs typeface="+mn-cs"/>
            </a:rPr>
            <a:t>Contact: E-mail: info@rehau.com</a:t>
          </a:r>
        </a:p>
        <a:p>
          <a:r>
            <a:rPr lang="de-DE" sz="1100" b="1">
              <a:solidFill>
                <a:schemeClr val="dk1"/>
              </a:solidFill>
              <a:latin typeface="+mn-lt"/>
              <a:ea typeface="+mn-ea"/>
              <a:cs typeface="+mn-cs"/>
            </a:rPr>
            <a:t>Data Protection</a:t>
          </a:r>
          <a:endParaRPr lang="de-DE" sz="1100">
            <a:solidFill>
              <a:schemeClr val="dk1"/>
            </a:solidFill>
            <a:latin typeface="+mn-lt"/>
            <a:ea typeface="+mn-ea"/>
            <a:cs typeface="+mn-cs"/>
          </a:endParaRPr>
        </a:p>
        <a:p>
          <a:r>
            <a:rPr lang="de-DE" sz="1100">
              <a:solidFill>
                <a:schemeClr val="dk1"/>
              </a:solidFill>
              <a:latin typeface="+mn-lt"/>
              <a:ea typeface="+mn-ea"/>
              <a:cs typeface="+mn-cs"/>
            </a:rPr>
            <a:t>All of the information entered and processed by the user within this website/software is treated as confidential in accordance with § 5 of the BDSG (Federal Data Protection Act). The information is only used to process enquiries and only passed onto third parties substantiated by the User within the context of the use of this website/software (§ 287 para. 1 BDSG). The information is not passed on to any other third parties.</a:t>
          </a:r>
          <a:endParaRPr lang="de-DE"/>
        </a:p>
        <a:p>
          <a:r>
            <a:rPr lang="de-DE" sz="1100" b="1">
              <a:solidFill>
                <a:schemeClr val="dk1"/>
              </a:solidFill>
              <a:latin typeface="+mn-lt"/>
              <a:ea typeface="+mn-ea"/>
              <a:cs typeface="+mn-cs"/>
            </a:rPr>
            <a:t>Disclaimer</a:t>
          </a:r>
          <a:endParaRPr lang="de-DE" sz="1100">
            <a:solidFill>
              <a:schemeClr val="dk1"/>
            </a:solidFill>
            <a:latin typeface="+mn-lt"/>
            <a:ea typeface="+mn-ea"/>
            <a:cs typeface="+mn-cs"/>
          </a:endParaRPr>
        </a:p>
        <a:p>
          <a:r>
            <a:rPr lang="de-DE" sz="1100">
              <a:solidFill>
                <a:schemeClr val="dk1"/>
              </a:solidFill>
              <a:latin typeface="+mn-lt"/>
              <a:ea typeface="+mn-ea"/>
              <a:cs typeface="+mn-cs"/>
            </a:rPr>
            <a:t>The website/software is provided free of charge by the publishers. The publishers do not offer any guarantee that the information provided is up to date or accurate, nor for the underlying calculation formulas, the calculation results, the completeness or quality. Liability claims made against the publishers and authors, which relate to damages of a material or non-material nature, that have been caused by the use of the information presented and/or the use of incorrect or incomplete information, are strictly excluded, if it cannot be proven that the publishers and authors are guilty of deliberate or gross negligence. The publishers reserve the right to alter or to add to parts of the site or the entire content without special prior notification or to alter the site temporarily or definitively.</a:t>
          </a:r>
          <a:endParaRPr lang="de-DE"/>
        </a:p>
        <a:p>
          <a:r>
            <a:rPr lang="de-DE" sz="1100">
              <a:solidFill>
                <a:schemeClr val="dk1"/>
              </a:solidFill>
              <a:latin typeface="+mn-lt"/>
              <a:ea typeface="+mn-ea"/>
              <a:cs typeface="+mn-cs"/>
            </a:rPr>
            <a:t>It cannot be taken from the publication that the terms used are free from the rights of third parties. If reference is made directly or indirectly to a link website (“links”), which lies outside of the publisher’s/author’s area of responsibility, these are liable at most if they had knowledge of the contents, and it was technically possible and reasonable for them to avoid its use in case of illegal content. For any further content and in particular damages that arose from the use or non-use of such information presented, only the provider of these sites is liable, not the party that only makes reference to the publication through links. This disclaimer is to be regarded as a part of the internet offer of this site. If parts or individual formulations of this text do not, no longer or completely correspond to the current laws, the remaining parts of the document remain unaffected in their content and their validity</a:t>
          </a:r>
          <a:endParaRPr lang="de-DE"/>
        </a:p>
        <a:p>
          <a:endParaRPr lang="de-DE" sz="1100">
            <a:solidFill>
              <a:schemeClr val="dk1"/>
            </a:solidFill>
            <a:latin typeface="+mn-lt"/>
            <a:ea typeface="+mn-ea"/>
            <a:cs typeface="+mn-cs"/>
          </a:endParaRPr>
        </a:p>
      </xdr:txBody>
    </xdr:sp>
    <xdr:clientData/>
  </xdr:oneCellAnchor>
  <xdr:twoCellAnchor editAs="oneCell">
    <xdr:from>
      <xdr:col>13</xdr:col>
      <xdr:colOff>247667</xdr:colOff>
      <xdr:row>4</xdr:row>
      <xdr:rowOff>138110</xdr:rowOff>
    </xdr:from>
    <xdr:to>
      <xdr:col>16</xdr:col>
      <xdr:colOff>273843</xdr:colOff>
      <xdr:row>11</xdr:row>
      <xdr:rowOff>169411</xdr:rowOff>
    </xdr:to>
    <xdr:pic>
      <xdr:nvPicPr>
        <xdr:cNvPr id="12" name="Obrázek 23" descr="DSC_3817a_V.jpg"/>
        <xdr:cNvPicPr>
          <a:picLocks noChangeAspect="1"/>
        </xdr:cNvPicPr>
      </xdr:nvPicPr>
      <xdr:blipFill>
        <a:blip xmlns:r="http://schemas.openxmlformats.org/officeDocument/2006/relationships" r:embed="rId1" cstate="print"/>
        <a:stretch>
          <a:fillRect/>
        </a:stretch>
      </xdr:blipFill>
      <xdr:spPr>
        <a:xfrm rot="16200000">
          <a:off x="10966683" y="1337251"/>
          <a:ext cx="1567207" cy="2264551"/>
        </a:xfrm>
        <a:prstGeom prst="rect">
          <a:avLst/>
        </a:prstGeom>
        <a:effectLst>
          <a:outerShdw blurRad="63500" sx="102000" sy="102000" algn="ctr" rotWithShape="0">
            <a:schemeClr val="accent6">
              <a:lumMod val="50000"/>
            </a:schemeClr>
          </a:outerShdw>
        </a:effectLst>
        <a:scene3d>
          <a:camera prst="orthographicFront"/>
          <a:lightRig rig="threePt" dir="t"/>
        </a:scene3d>
        <a:sp3d prstMaterial="matte"/>
      </xdr:spPr>
    </xdr:pic>
    <xdr:clientData/>
  </xdr:twoCellAnchor>
  <xdr:oneCellAnchor>
    <xdr:from>
      <xdr:col>12</xdr:col>
      <xdr:colOff>750094</xdr:colOff>
      <xdr:row>2</xdr:row>
      <xdr:rowOff>47625</xdr:rowOff>
    </xdr:from>
    <xdr:ext cx="184731" cy="264560"/>
    <xdr:sp macro="" textlink="">
      <xdr:nvSpPr>
        <xdr:cNvPr id="10" name="Textfeld 9"/>
        <xdr:cNvSpPr txBox="1"/>
      </xdr:nvSpPr>
      <xdr:spPr>
        <a:xfrm>
          <a:off x="10120313" y="100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DE" sz="1100"/>
        </a:p>
      </xdr:txBody>
    </xdr:sp>
    <xdr:clientData/>
  </xdr:oneCellAnchor>
  <xdr:twoCellAnchor>
    <xdr:from>
      <xdr:col>13</xdr:col>
      <xdr:colOff>500062</xdr:colOff>
      <xdr:row>4</xdr:row>
      <xdr:rowOff>95250</xdr:rowOff>
    </xdr:from>
    <xdr:to>
      <xdr:col>13</xdr:col>
      <xdr:colOff>500062</xdr:colOff>
      <xdr:row>12</xdr:row>
      <xdr:rowOff>0</xdr:rowOff>
    </xdr:to>
    <xdr:cxnSp macro="">
      <xdr:nvCxnSpPr>
        <xdr:cNvPr id="9" name="Gerade Verbindung 8"/>
        <xdr:cNvCxnSpPr/>
      </xdr:nvCxnSpPr>
      <xdr:spPr>
        <a:xfrm>
          <a:off x="10870406" y="1643063"/>
          <a:ext cx="0" cy="1631156"/>
        </a:xfrm>
        <a:prstGeom prst="line">
          <a:avLst/>
        </a:prstGeom>
        <a:ln w="15875">
          <a:solidFill>
            <a:schemeClr val="tx1">
              <a:lumMod val="85000"/>
              <a:lumOff val="1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819149</xdr:colOff>
      <xdr:row>4</xdr:row>
      <xdr:rowOff>104775</xdr:rowOff>
    </xdr:from>
    <xdr:to>
      <xdr:col>13</xdr:col>
      <xdr:colOff>819149</xdr:colOff>
      <xdr:row>12</xdr:row>
      <xdr:rowOff>9525</xdr:rowOff>
    </xdr:to>
    <xdr:cxnSp macro="">
      <xdr:nvCxnSpPr>
        <xdr:cNvPr id="15" name="Gerade Verbindung 14"/>
        <xdr:cNvCxnSpPr/>
      </xdr:nvCxnSpPr>
      <xdr:spPr>
        <a:xfrm>
          <a:off x="11189493" y="1652588"/>
          <a:ext cx="0" cy="1631156"/>
        </a:xfrm>
        <a:prstGeom prst="line">
          <a:avLst/>
        </a:prstGeom>
        <a:ln w="15875">
          <a:solidFill>
            <a:schemeClr val="tx1">
              <a:lumMod val="85000"/>
              <a:lumOff val="1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257175</xdr:colOff>
      <xdr:row>4</xdr:row>
      <xdr:rowOff>90487</xdr:rowOff>
    </xdr:from>
    <xdr:to>
      <xdr:col>14</xdr:col>
      <xdr:colOff>257175</xdr:colOff>
      <xdr:row>11</xdr:row>
      <xdr:rowOff>185737</xdr:rowOff>
    </xdr:to>
    <xdr:cxnSp macro="">
      <xdr:nvCxnSpPr>
        <xdr:cNvPr id="16" name="Gerade Verbindung 15"/>
        <xdr:cNvCxnSpPr/>
      </xdr:nvCxnSpPr>
      <xdr:spPr>
        <a:xfrm>
          <a:off x="11460956" y="1638300"/>
          <a:ext cx="0" cy="1631156"/>
        </a:xfrm>
        <a:prstGeom prst="line">
          <a:avLst/>
        </a:prstGeom>
        <a:ln w="15875">
          <a:solidFill>
            <a:schemeClr val="tx1">
              <a:lumMod val="85000"/>
              <a:lumOff val="1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564356</xdr:colOff>
      <xdr:row>4</xdr:row>
      <xdr:rowOff>111918</xdr:rowOff>
    </xdr:from>
    <xdr:to>
      <xdr:col>14</xdr:col>
      <xdr:colOff>564356</xdr:colOff>
      <xdr:row>12</xdr:row>
      <xdr:rowOff>16668</xdr:rowOff>
    </xdr:to>
    <xdr:cxnSp macro="">
      <xdr:nvCxnSpPr>
        <xdr:cNvPr id="17" name="Gerade Verbindung 16"/>
        <xdr:cNvCxnSpPr/>
      </xdr:nvCxnSpPr>
      <xdr:spPr>
        <a:xfrm>
          <a:off x="11768137" y="1659731"/>
          <a:ext cx="0" cy="1631156"/>
        </a:xfrm>
        <a:prstGeom prst="line">
          <a:avLst/>
        </a:prstGeom>
        <a:ln w="15875">
          <a:solidFill>
            <a:schemeClr val="tx1">
              <a:lumMod val="85000"/>
              <a:lumOff val="1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133349</xdr:colOff>
      <xdr:row>4</xdr:row>
      <xdr:rowOff>109538</xdr:rowOff>
    </xdr:from>
    <xdr:to>
      <xdr:col>15</xdr:col>
      <xdr:colOff>133349</xdr:colOff>
      <xdr:row>12</xdr:row>
      <xdr:rowOff>14288</xdr:rowOff>
    </xdr:to>
    <xdr:cxnSp macro="">
      <xdr:nvCxnSpPr>
        <xdr:cNvPr id="18" name="Gerade Verbindung 17"/>
        <xdr:cNvCxnSpPr/>
      </xdr:nvCxnSpPr>
      <xdr:spPr>
        <a:xfrm>
          <a:off x="12051505" y="1657351"/>
          <a:ext cx="0" cy="1631156"/>
        </a:xfrm>
        <a:prstGeom prst="line">
          <a:avLst/>
        </a:prstGeom>
        <a:ln w="15875">
          <a:solidFill>
            <a:schemeClr val="tx1">
              <a:lumMod val="85000"/>
              <a:lumOff val="1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433387</xdr:colOff>
      <xdr:row>4</xdr:row>
      <xdr:rowOff>111919</xdr:rowOff>
    </xdr:from>
    <xdr:to>
      <xdr:col>15</xdr:col>
      <xdr:colOff>433387</xdr:colOff>
      <xdr:row>12</xdr:row>
      <xdr:rowOff>16669</xdr:rowOff>
    </xdr:to>
    <xdr:cxnSp macro="">
      <xdr:nvCxnSpPr>
        <xdr:cNvPr id="19" name="Gerade Verbindung 18"/>
        <xdr:cNvCxnSpPr/>
      </xdr:nvCxnSpPr>
      <xdr:spPr>
        <a:xfrm>
          <a:off x="12351543" y="1659732"/>
          <a:ext cx="0" cy="1631156"/>
        </a:xfrm>
        <a:prstGeom prst="line">
          <a:avLst/>
        </a:prstGeom>
        <a:ln w="15875">
          <a:solidFill>
            <a:schemeClr val="tx1">
              <a:lumMod val="85000"/>
              <a:lumOff val="1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38101</xdr:colOff>
      <xdr:row>4</xdr:row>
      <xdr:rowOff>109538</xdr:rowOff>
    </xdr:from>
    <xdr:to>
      <xdr:col>16</xdr:col>
      <xdr:colOff>38101</xdr:colOff>
      <xdr:row>12</xdr:row>
      <xdr:rowOff>14288</xdr:rowOff>
    </xdr:to>
    <xdr:cxnSp macro="">
      <xdr:nvCxnSpPr>
        <xdr:cNvPr id="20" name="Gerade Verbindung 19"/>
        <xdr:cNvCxnSpPr/>
      </xdr:nvCxnSpPr>
      <xdr:spPr>
        <a:xfrm>
          <a:off x="12646820" y="1657351"/>
          <a:ext cx="0" cy="1631156"/>
        </a:xfrm>
        <a:prstGeom prst="line">
          <a:avLst/>
        </a:prstGeom>
        <a:ln w="15875">
          <a:solidFill>
            <a:schemeClr val="tx1">
              <a:lumMod val="85000"/>
              <a:lumOff val="1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0</xdr:colOff>
      <xdr:row>21</xdr:row>
      <xdr:rowOff>0</xdr:rowOff>
    </xdr:from>
    <xdr:ext cx="10467975" cy="8451057"/>
    <xdr:sp macro="" textlink="">
      <xdr:nvSpPr>
        <xdr:cNvPr id="6" name="Textfeld 5"/>
        <xdr:cNvSpPr txBox="1"/>
      </xdr:nvSpPr>
      <xdr:spPr>
        <a:xfrm>
          <a:off x="762000" y="4286250"/>
          <a:ext cx="10467975" cy="8451057"/>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r>
            <a:rPr lang="de-DE" sz="1100" b="1" cap="all">
              <a:solidFill>
                <a:schemeClr val="dk1"/>
              </a:solidFill>
              <a:latin typeface="+mn-lt"/>
              <a:ea typeface="+mn-ea"/>
              <a:cs typeface="+mn-cs"/>
            </a:rPr>
            <a:t>Nutzungsbedingungen</a:t>
          </a:r>
          <a:endParaRPr lang="de-DE" sz="1100" b="1">
            <a:solidFill>
              <a:schemeClr val="dk1"/>
            </a:solidFill>
            <a:latin typeface="+mn-lt"/>
            <a:ea typeface="+mn-ea"/>
            <a:cs typeface="+mn-cs"/>
          </a:endParaRPr>
        </a:p>
        <a:p>
          <a:r>
            <a:rPr lang="de-DE" sz="1100" b="1">
              <a:solidFill>
                <a:schemeClr val="dk1"/>
              </a:solidFill>
              <a:latin typeface="+mn-lt"/>
              <a:ea typeface="+mn-ea"/>
              <a:cs typeface="+mn-cs"/>
            </a:rPr>
            <a:t>Nutzungsbedingungen REHAU RELAZZO Terrassenkonfigurator</a:t>
          </a:r>
          <a:endParaRPr lang="de-DE" sz="1100">
            <a:solidFill>
              <a:schemeClr val="dk1"/>
            </a:solidFill>
            <a:latin typeface="+mn-lt"/>
            <a:ea typeface="+mn-ea"/>
            <a:cs typeface="+mn-cs"/>
          </a:endParaRPr>
        </a:p>
        <a:p>
          <a:r>
            <a:rPr lang="de-DE" sz="1100" b="1">
              <a:solidFill>
                <a:schemeClr val="dk1"/>
              </a:solidFill>
              <a:latin typeface="+mn-lt"/>
              <a:ea typeface="+mn-ea"/>
              <a:cs typeface="+mn-cs"/>
            </a:rPr>
            <a:t>Haftungsausschluss</a:t>
          </a:r>
          <a:endParaRPr lang="de-DE" sz="1100">
            <a:solidFill>
              <a:schemeClr val="dk1"/>
            </a:solidFill>
            <a:latin typeface="+mn-lt"/>
            <a:ea typeface="+mn-ea"/>
            <a:cs typeface="+mn-cs"/>
          </a:endParaRPr>
        </a:p>
        <a:p>
          <a:r>
            <a:rPr lang="de-DE" sz="1100">
              <a:solidFill>
                <a:schemeClr val="dk1"/>
              </a:solidFill>
              <a:latin typeface="+mn-lt"/>
              <a:ea typeface="+mn-ea"/>
              <a:cs typeface="+mn-cs"/>
            </a:rPr>
            <a:t>Alle Daten innerhalb dieser Webseite/Software sind urheberrechtlich geschützt und dürfen nicht ohne Zustimmung der Rechteinhaber verwendet werden. Die durch das Urheberrecht begründeten Rechte, insbesondere die der Übersetzung, des Nachdruckes, der Entnahme von Abbildungen, der Funksendungen, der Wiedergabe auf fotomechanischem oder ähnlichem Wege und der Speicherung in Datenverarbeitungsunterlagen, bleiben vorbehalten.</a:t>
          </a:r>
          <a:br>
            <a:rPr lang="de-DE" sz="1100">
              <a:solidFill>
                <a:schemeClr val="dk1"/>
              </a:solidFill>
              <a:latin typeface="+mn-lt"/>
              <a:ea typeface="+mn-ea"/>
              <a:cs typeface="+mn-cs"/>
            </a:rPr>
          </a:br>
          <a:r>
            <a:rPr lang="de-DE" sz="1100">
              <a:solidFill>
                <a:schemeClr val="dk1"/>
              </a:solidFill>
              <a:latin typeface="+mn-lt"/>
              <a:ea typeface="+mn-ea"/>
              <a:cs typeface="+mn-cs"/>
            </a:rPr>
            <a:t>Kontakt: E-mail: </a:t>
          </a:r>
          <a:r>
            <a:rPr lang="de-DE" sz="1100" u="sng">
              <a:solidFill>
                <a:schemeClr val="dk1"/>
              </a:solidFill>
              <a:latin typeface="+mn-lt"/>
              <a:ea typeface="+mn-ea"/>
              <a:cs typeface="+mn-cs"/>
              <a:hlinkClick xmlns:r="http://schemas.openxmlformats.org/officeDocument/2006/relationships" r:id=""/>
            </a:rPr>
            <a:t>info@rehau.com</a:t>
          </a:r>
          <a:endParaRPr lang="de-DE" sz="1100">
            <a:solidFill>
              <a:schemeClr val="dk1"/>
            </a:solidFill>
            <a:latin typeface="+mn-lt"/>
            <a:ea typeface="+mn-ea"/>
            <a:cs typeface="+mn-cs"/>
          </a:endParaRPr>
        </a:p>
        <a:p>
          <a:r>
            <a:rPr lang="de-DE" sz="1100" b="1">
              <a:solidFill>
                <a:schemeClr val="dk1"/>
              </a:solidFill>
              <a:latin typeface="+mn-lt"/>
              <a:ea typeface="+mn-ea"/>
              <a:cs typeface="+mn-cs"/>
            </a:rPr>
            <a:t>Datenschutz</a:t>
          </a:r>
          <a:endParaRPr lang="de-DE" sz="1100">
            <a:solidFill>
              <a:schemeClr val="dk1"/>
            </a:solidFill>
            <a:latin typeface="+mn-lt"/>
            <a:ea typeface="+mn-ea"/>
            <a:cs typeface="+mn-cs"/>
          </a:endParaRPr>
        </a:p>
        <a:p>
          <a:r>
            <a:rPr lang="de-DE" sz="1100">
              <a:solidFill>
                <a:schemeClr val="dk1"/>
              </a:solidFill>
              <a:latin typeface="+mn-lt"/>
              <a:ea typeface="+mn-ea"/>
              <a:cs typeface="+mn-cs"/>
            </a:rPr>
            <a:t>Alle innerhalb dieser Webseite/Software vom Anwender eingegebenen und verarbeiteten Daten werden vertraulich gem. § 5 BDSG behandelt. Die Daten werden nur zur Bearbeitung der Anfragen benutzt und nur an von dem Nutzer im Rahmen der Nutzung dieser Website/ Software konkretisierte Dritte weitergegeben (§ 287 Abs. 1 BDSG) An andere Dritte werden die Daten nicht weitergegeben.</a:t>
          </a:r>
        </a:p>
        <a:p>
          <a:r>
            <a:rPr lang="de-DE" sz="1100" b="1">
              <a:solidFill>
                <a:schemeClr val="dk1"/>
              </a:solidFill>
              <a:latin typeface="+mn-lt"/>
              <a:ea typeface="+mn-ea"/>
              <a:cs typeface="+mn-cs"/>
            </a:rPr>
            <a:t>Haftungsausschluss</a:t>
          </a:r>
          <a:endParaRPr lang="de-DE" sz="1100">
            <a:solidFill>
              <a:schemeClr val="dk1"/>
            </a:solidFill>
            <a:latin typeface="+mn-lt"/>
            <a:ea typeface="+mn-ea"/>
            <a:cs typeface="+mn-cs"/>
          </a:endParaRPr>
        </a:p>
        <a:p>
          <a:r>
            <a:rPr lang="de-DE" sz="1100">
              <a:solidFill>
                <a:schemeClr val="dk1"/>
              </a:solidFill>
              <a:latin typeface="+mn-lt"/>
              <a:ea typeface="+mn-ea"/>
              <a:cs typeface="+mn-cs"/>
            </a:rPr>
            <a:t>Die Webseite/Software wird von den Herausgebern kostenlos zur Verfügung gestellt. Die Herausgeber übernehmen keinerlei Gewähr für die Aktualität, Korrektheit, zu Grunde gelegte Berechnungsformeln, Berechnungsergebnisse, Vollständigkeit oder Qualität der bereitgestellten Informationen. Haftungsansprüche gegen die Herausgeber und Autoren, die sich auf Schäden materieller oder ideeller Art beziehen, welche durch die Nutzung der dargebotenen Informationen bzw. durch Nutzung fehlerhafter oder unvollständiger Informationen verursacht wurden, sind grundsätzlich ausgeschlossen, sofern seitens der Herausgeber und Autoren kein nachweislich vorsätzliches oder grob fahrlässiges Verschulden vorliegt. Die Herausgeber behalten es sich ausdrücklich vor, Teile der Seiten oder den gesamten Inhalt ohne gesonderte Ankündigung zu verändern, zu ergänzen oder die Veröffentlichung zeitweise oder endgültig einzustellen.</a:t>
          </a:r>
        </a:p>
        <a:p>
          <a:r>
            <a:rPr lang="de-DE" sz="1100">
              <a:solidFill>
                <a:schemeClr val="dk1"/>
              </a:solidFill>
              <a:latin typeface="+mn-lt"/>
              <a:ea typeface="+mn-ea"/>
              <a:cs typeface="+mn-cs"/>
            </a:rPr>
            <a:t>Aus der Veröffentlichung kann nicht entnommen werden, dass die verwendeten Bezeichnungen frei von Rechten Dritter sind. Sofern auf Verweisziele (“links”) direkt oder indirekt verwiesen wird, die außerhalb des Verantwortungsbereichs des Herausgebers/Autoren liegen, haften diese allenfalls dann, wenn sie von den Inhalten Kenntnis hatten, und es ihnen technisch möglich und zumutbar wäre, die Nutzung im Falle rechtswidriger Inhalte zu verhindern. Für darüber hinausgehende Inhalte und insbesondere für Schäden, die aus der Nutzung oder Nichtnutzung solcherart dargebotener Informationen entstehen, haftet allein der Anbieter dieser Seiten, nicht derjenige, der über Links auf die jeweilige Veröffentlichung lediglich verweist. Dieser Haftungsausschluss ist als Teil des Internetangebots dieser Seite zu betrachten. Sofern Teile oder einzelne Formulierungen dieses Textes der geltenden Rechtslage nicht, nicht mehr oder nicht vollständig entsprechen sollten, bleiben die übrigen Teile des Dokuments in ihrem Inhalt und ihrer Gültigkeit davon unberührt.</a:t>
          </a:r>
        </a:p>
        <a:p>
          <a:endParaRPr lang="de-DE" sz="1100">
            <a:solidFill>
              <a:schemeClr val="dk1"/>
            </a:solidFill>
            <a:latin typeface="+mn-lt"/>
            <a:ea typeface="+mn-ea"/>
            <a:cs typeface="+mn-cs"/>
          </a:endParaRPr>
        </a:p>
        <a:p>
          <a:endParaRPr lang="de-DE" sz="1100">
            <a:solidFill>
              <a:schemeClr val="dk1"/>
            </a:solidFill>
            <a:latin typeface="+mn-lt"/>
            <a:ea typeface="+mn-ea"/>
            <a:cs typeface="+mn-cs"/>
          </a:endParaRPr>
        </a:p>
        <a:p>
          <a:r>
            <a:rPr lang="de-DE" sz="1100" b="1">
              <a:solidFill>
                <a:schemeClr val="dk1"/>
              </a:solidFill>
              <a:latin typeface="+mn-lt"/>
              <a:ea typeface="+mn-ea"/>
              <a:cs typeface="+mn-cs"/>
            </a:rPr>
            <a:t>TERMS OF USE</a:t>
          </a:r>
          <a:endParaRPr lang="de-DE" b="1"/>
        </a:p>
        <a:p>
          <a:r>
            <a:rPr lang="de-DE" sz="1100" b="1">
              <a:solidFill>
                <a:schemeClr val="dk1"/>
              </a:solidFill>
              <a:latin typeface="+mn-lt"/>
              <a:ea typeface="+mn-ea"/>
              <a:cs typeface="+mn-cs"/>
            </a:rPr>
            <a:t>Disclaimer</a:t>
          </a:r>
          <a:endParaRPr lang="de-DE" sz="1100">
            <a:solidFill>
              <a:schemeClr val="dk1"/>
            </a:solidFill>
            <a:latin typeface="+mn-lt"/>
            <a:ea typeface="+mn-ea"/>
            <a:cs typeface="+mn-cs"/>
          </a:endParaRPr>
        </a:p>
        <a:p>
          <a:r>
            <a:rPr lang="de-DE" sz="1100">
              <a:solidFill>
                <a:schemeClr val="dk1"/>
              </a:solidFill>
              <a:latin typeface="+mn-lt"/>
              <a:ea typeface="+mn-ea"/>
              <a:cs typeface="+mn-cs"/>
            </a:rPr>
            <a:t>All the information contained within this website/software is protected under copyright laws and may not be used without the permission of the respective owners. All rights protected under copyright remain reserved in particular reproductions, copying, removal of images, electronic transmission, making copies on photocopying machines or by similar means and storing in data processing systems.</a:t>
          </a:r>
          <a:br>
            <a:rPr lang="de-DE" sz="1100">
              <a:solidFill>
                <a:schemeClr val="dk1"/>
              </a:solidFill>
              <a:latin typeface="+mn-lt"/>
              <a:ea typeface="+mn-ea"/>
              <a:cs typeface="+mn-cs"/>
            </a:rPr>
          </a:br>
          <a:r>
            <a:rPr lang="de-DE" sz="1100">
              <a:solidFill>
                <a:schemeClr val="dk1"/>
              </a:solidFill>
              <a:latin typeface="+mn-lt"/>
              <a:ea typeface="+mn-ea"/>
              <a:cs typeface="+mn-cs"/>
            </a:rPr>
            <a:t>Contact: E-mail: info@rehau.com</a:t>
          </a:r>
        </a:p>
        <a:p>
          <a:r>
            <a:rPr lang="de-DE" sz="1100" b="1">
              <a:solidFill>
                <a:schemeClr val="dk1"/>
              </a:solidFill>
              <a:latin typeface="+mn-lt"/>
              <a:ea typeface="+mn-ea"/>
              <a:cs typeface="+mn-cs"/>
            </a:rPr>
            <a:t>Data Protection</a:t>
          </a:r>
          <a:endParaRPr lang="de-DE" sz="1100">
            <a:solidFill>
              <a:schemeClr val="dk1"/>
            </a:solidFill>
            <a:latin typeface="+mn-lt"/>
            <a:ea typeface="+mn-ea"/>
            <a:cs typeface="+mn-cs"/>
          </a:endParaRPr>
        </a:p>
        <a:p>
          <a:r>
            <a:rPr lang="de-DE" sz="1100">
              <a:solidFill>
                <a:schemeClr val="dk1"/>
              </a:solidFill>
              <a:latin typeface="+mn-lt"/>
              <a:ea typeface="+mn-ea"/>
              <a:cs typeface="+mn-cs"/>
            </a:rPr>
            <a:t>All of the information entered and processed by the user within this website/software is treated as confidential in accordance with § 5 of the BDSG (Federal Data Protection Act). The information is only used to process enquiries and only passed onto third parties substantiated by the User within the context of the use of this website/software (§ 287 para. 1 BDSG). The information is not passed on to any other third parties.</a:t>
          </a:r>
          <a:endParaRPr lang="de-DE"/>
        </a:p>
        <a:p>
          <a:r>
            <a:rPr lang="de-DE" sz="1100" b="1">
              <a:solidFill>
                <a:schemeClr val="dk1"/>
              </a:solidFill>
              <a:latin typeface="+mn-lt"/>
              <a:ea typeface="+mn-ea"/>
              <a:cs typeface="+mn-cs"/>
            </a:rPr>
            <a:t>Disclaimer</a:t>
          </a:r>
          <a:endParaRPr lang="de-DE" sz="1100">
            <a:solidFill>
              <a:schemeClr val="dk1"/>
            </a:solidFill>
            <a:latin typeface="+mn-lt"/>
            <a:ea typeface="+mn-ea"/>
            <a:cs typeface="+mn-cs"/>
          </a:endParaRPr>
        </a:p>
        <a:p>
          <a:r>
            <a:rPr lang="de-DE" sz="1100">
              <a:solidFill>
                <a:schemeClr val="dk1"/>
              </a:solidFill>
              <a:latin typeface="+mn-lt"/>
              <a:ea typeface="+mn-ea"/>
              <a:cs typeface="+mn-cs"/>
            </a:rPr>
            <a:t>The website/software is provided free of charge by the publishers. The publishers do not offer any guarantee that the information provided is up to date or accurate, nor for the underlying calculation formulas, the calculation results, the completeness or quality. Liability claims made against the publishers and authors, which relate to damages of a material or non-material nature, that have been caused by the use of the information presented and/or the use of incorrect or incomplete information, are strictly excluded, if it cannot be proven that the publishers and authors are guilty of deliberate or gross negligence. The publishers reserve the right to alter or to add to parts of the site or the entire content without special prior notification or to alter the site temporarily or definitively.</a:t>
          </a:r>
          <a:endParaRPr lang="de-DE"/>
        </a:p>
        <a:p>
          <a:r>
            <a:rPr lang="de-DE" sz="1100">
              <a:solidFill>
                <a:schemeClr val="dk1"/>
              </a:solidFill>
              <a:latin typeface="+mn-lt"/>
              <a:ea typeface="+mn-ea"/>
              <a:cs typeface="+mn-cs"/>
            </a:rPr>
            <a:t>It cannot be taken from the publication that the terms used are free from the rights of third parties. If reference is made directly or indirectly to a link website (“links”), which lies outside of the publisher’s/author’s area of responsibility, these are liable at most if they had knowledge of the contents, and it was technically possible and reasonable for them to avoid its use in case of illegal content. For any further content and in particular damages that arose from the use or non-use of such information presented, only the provider of these sites is liable, not the party that only makes reference to the publication through links. This disclaimer is to be regarded as a part of the internet offer of this site. If parts or individual formulations of this text do not, no longer or completely correspond to the current laws, the remaining parts of the document remain unaffected in their content and their validity</a:t>
          </a:r>
          <a:endParaRPr lang="de-DE"/>
        </a:p>
        <a:p>
          <a:endParaRPr lang="de-DE" sz="1100">
            <a:solidFill>
              <a:schemeClr val="dk1"/>
            </a:solidFill>
            <a:latin typeface="+mn-lt"/>
            <a:ea typeface="+mn-ea"/>
            <a:cs typeface="+mn-cs"/>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6</xdr:col>
      <xdr:colOff>561975</xdr:colOff>
      <xdr:row>10</xdr:row>
      <xdr:rowOff>152400</xdr:rowOff>
    </xdr:from>
    <xdr:to>
      <xdr:col>11</xdr:col>
      <xdr:colOff>19050</xdr:colOff>
      <xdr:row>37</xdr:row>
      <xdr:rowOff>28575</xdr:rowOff>
    </xdr:to>
    <xdr:sp macro="" textlink="">
      <xdr:nvSpPr>
        <xdr:cNvPr id="2" name="Rechteck 1"/>
        <xdr:cNvSpPr/>
      </xdr:nvSpPr>
      <xdr:spPr>
        <a:xfrm>
          <a:off x="6438900" y="2105025"/>
          <a:ext cx="3648075" cy="50387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de-DE" sz="1100"/>
        </a:p>
      </xdr:txBody>
    </xdr:sp>
    <xdr:clientData/>
  </xdr:twoCellAnchor>
  <xdr:twoCellAnchor>
    <xdr:from>
      <xdr:col>6</xdr:col>
      <xdr:colOff>542925</xdr:colOff>
      <xdr:row>9</xdr:row>
      <xdr:rowOff>128588</xdr:rowOff>
    </xdr:from>
    <xdr:to>
      <xdr:col>11</xdr:col>
      <xdr:colOff>0</xdr:colOff>
      <xdr:row>9</xdr:row>
      <xdr:rowOff>128588</xdr:rowOff>
    </xdr:to>
    <xdr:cxnSp macro="">
      <xdr:nvCxnSpPr>
        <xdr:cNvPr id="3" name="Gerade Verbindung mit Pfeil 2"/>
        <xdr:cNvCxnSpPr/>
      </xdr:nvCxnSpPr>
      <xdr:spPr>
        <a:xfrm>
          <a:off x="6419850" y="1890713"/>
          <a:ext cx="3648075"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352425</xdr:colOff>
      <xdr:row>10</xdr:row>
      <xdr:rowOff>152400</xdr:rowOff>
    </xdr:from>
    <xdr:to>
      <xdr:col>6</xdr:col>
      <xdr:colOff>357188</xdr:colOff>
      <xdr:row>37</xdr:row>
      <xdr:rowOff>47625</xdr:rowOff>
    </xdr:to>
    <xdr:cxnSp macro="">
      <xdr:nvCxnSpPr>
        <xdr:cNvPr id="4" name="Gerade Verbindung mit Pfeil 3"/>
        <xdr:cNvCxnSpPr/>
      </xdr:nvCxnSpPr>
      <xdr:spPr>
        <a:xfrm flipH="1">
          <a:off x="6229350" y="2105025"/>
          <a:ext cx="4763" cy="5057775"/>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19050</xdr:colOff>
      <xdr:row>10</xdr:row>
      <xdr:rowOff>152400</xdr:rowOff>
    </xdr:from>
    <xdr:to>
      <xdr:col>7</xdr:col>
      <xdr:colOff>238125</xdr:colOff>
      <xdr:row>37</xdr:row>
      <xdr:rowOff>28575</xdr:rowOff>
    </xdr:to>
    <xdr:sp macro="" textlink="">
      <xdr:nvSpPr>
        <xdr:cNvPr id="5" name="Rechteck 4"/>
        <xdr:cNvSpPr/>
      </xdr:nvSpPr>
      <xdr:spPr>
        <a:xfrm>
          <a:off x="6657975" y="2105025"/>
          <a:ext cx="219075" cy="5038725"/>
        </a:xfrm>
        <a:prstGeom prst="rect">
          <a:avLst/>
        </a:prstGeom>
        <a:solidFill>
          <a:schemeClr val="bg2">
            <a:lumMod val="50000"/>
          </a:schemeClr>
        </a:solidFill>
        <a:ln>
          <a:solidFill>
            <a:schemeClr val="bg2">
              <a:lumMod val="1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de-DE" sz="1100"/>
        </a:p>
      </xdr:txBody>
    </xdr:sp>
    <xdr:clientData/>
  </xdr:twoCellAnchor>
  <xdr:twoCellAnchor>
    <xdr:from>
      <xdr:col>6</xdr:col>
      <xdr:colOff>552450</xdr:colOff>
      <xdr:row>10</xdr:row>
      <xdr:rowOff>152400</xdr:rowOff>
    </xdr:from>
    <xdr:to>
      <xdr:col>7</xdr:col>
      <xdr:colOff>9525</xdr:colOff>
      <xdr:row>37</xdr:row>
      <xdr:rowOff>28575</xdr:rowOff>
    </xdr:to>
    <xdr:sp macro="" textlink="">
      <xdr:nvSpPr>
        <xdr:cNvPr id="6" name="Rechteck 5"/>
        <xdr:cNvSpPr/>
      </xdr:nvSpPr>
      <xdr:spPr>
        <a:xfrm>
          <a:off x="6429375" y="2105025"/>
          <a:ext cx="219075" cy="5038725"/>
        </a:xfrm>
        <a:prstGeom prst="rect">
          <a:avLst/>
        </a:prstGeom>
        <a:solidFill>
          <a:schemeClr val="bg2">
            <a:lumMod val="50000"/>
          </a:schemeClr>
        </a:solidFill>
        <a:ln>
          <a:solidFill>
            <a:schemeClr val="bg2">
              <a:lumMod val="1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de-DE" sz="1100"/>
        </a:p>
      </xdr:txBody>
    </xdr:sp>
    <xdr:clientData/>
  </xdr:twoCellAnchor>
  <xdr:twoCellAnchor>
    <xdr:from>
      <xdr:col>7</xdr:col>
      <xdr:colOff>238125</xdr:colOff>
      <xdr:row>10</xdr:row>
      <xdr:rowOff>152400</xdr:rowOff>
    </xdr:from>
    <xdr:to>
      <xdr:col>7</xdr:col>
      <xdr:colOff>457200</xdr:colOff>
      <xdr:row>37</xdr:row>
      <xdr:rowOff>28575</xdr:rowOff>
    </xdr:to>
    <xdr:sp macro="" textlink="">
      <xdr:nvSpPr>
        <xdr:cNvPr id="7" name="Rechteck 6"/>
        <xdr:cNvSpPr/>
      </xdr:nvSpPr>
      <xdr:spPr>
        <a:xfrm>
          <a:off x="6877050" y="2105025"/>
          <a:ext cx="219075" cy="5038725"/>
        </a:xfrm>
        <a:prstGeom prst="rect">
          <a:avLst/>
        </a:prstGeom>
        <a:solidFill>
          <a:schemeClr val="bg2">
            <a:lumMod val="50000"/>
          </a:schemeClr>
        </a:solidFill>
        <a:ln>
          <a:solidFill>
            <a:schemeClr val="bg2">
              <a:lumMod val="1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de-DE" sz="1100"/>
        </a:p>
      </xdr:txBody>
    </xdr:sp>
    <xdr:clientData/>
  </xdr:twoCellAnchor>
  <xdr:oneCellAnchor>
    <xdr:from>
      <xdr:col>8</xdr:col>
      <xdr:colOff>485775</xdr:colOff>
      <xdr:row>8</xdr:row>
      <xdr:rowOff>57150</xdr:rowOff>
    </xdr:from>
    <xdr:ext cx="580031" cy="264560"/>
    <xdr:sp macro="" textlink="">
      <xdr:nvSpPr>
        <xdr:cNvPr id="8" name="Textfeld 7"/>
        <xdr:cNvSpPr txBox="1"/>
      </xdr:nvSpPr>
      <xdr:spPr>
        <a:xfrm>
          <a:off x="7886700" y="1628775"/>
          <a:ext cx="5800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de-DE" sz="1100"/>
            <a:t>BREITE</a:t>
          </a:r>
        </a:p>
      </xdr:txBody>
    </xdr:sp>
    <xdr:clientData/>
  </xdr:oneCellAnchor>
  <xdr:oneCellAnchor>
    <xdr:from>
      <xdr:col>6</xdr:col>
      <xdr:colOff>59728</xdr:colOff>
      <xdr:row>28</xdr:row>
      <xdr:rowOff>85725</xdr:rowOff>
    </xdr:from>
    <xdr:ext cx="264560" cy="574516"/>
    <xdr:sp macro="" textlink="">
      <xdr:nvSpPr>
        <xdr:cNvPr id="9" name="Textfeld 8"/>
        <xdr:cNvSpPr txBox="1"/>
      </xdr:nvSpPr>
      <xdr:spPr>
        <a:xfrm rot="16200000">
          <a:off x="5781675" y="5641378"/>
          <a:ext cx="57451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de-DE" sz="1100"/>
            <a:t>LÄNGE</a:t>
          </a:r>
        </a:p>
      </xdr:txBody>
    </xdr:sp>
    <xdr:clientData/>
  </xdr:oneCellAnchor>
  <xdr:oneCellAnchor>
    <xdr:from>
      <xdr:col>8</xdr:col>
      <xdr:colOff>485775</xdr:colOff>
      <xdr:row>8</xdr:row>
      <xdr:rowOff>57150</xdr:rowOff>
    </xdr:from>
    <xdr:ext cx="580031" cy="264560"/>
    <xdr:sp macro="" textlink="">
      <xdr:nvSpPr>
        <xdr:cNvPr id="10" name="Textfeld 9"/>
        <xdr:cNvSpPr txBox="1"/>
      </xdr:nvSpPr>
      <xdr:spPr>
        <a:xfrm>
          <a:off x="7886700" y="1628775"/>
          <a:ext cx="5800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de-DE" sz="1100"/>
            <a:t>BREITE</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561975</xdr:colOff>
      <xdr:row>10</xdr:row>
      <xdr:rowOff>152400</xdr:rowOff>
    </xdr:from>
    <xdr:to>
      <xdr:col>11</xdr:col>
      <xdr:colOff>19050</xdr:colOff>
      <xdr:row>37</xdr:row>
      <xdr:rowOff>28575</xdr:rowOff>
    </xdr:to>
    <xdr:sp macro="" textlink="">
      <xdr:nvSpPr>
        <xdr:cNvPr id="2" name="Rechteck 1"/>
        <xdr:cNvSpPr/>
      </xdr:nvSpPr>
      <xdr:spPr>
        <a:xfrm>
          <a:off x="6438900" y="2105025"/>
          <a:ext cx="3648075" cy="33147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de-DE" sz="1100"/>
        </a:p>
      </xdr:txBody>
    </xdr:sp>
    <xdr:clientData/>
  </xdr:twoCellAnchor>
  <xdr:twoCellAnchor>
    <xdr:from>
      <xdr:col>6</xdr:col>
      <xdr:colOff>542925</xdr:colOff>
      <xdr:row>9</xdr:row>
      <xdr:rowOff>128588</xdr:rowOff>
    </xdr:from>
    <xdr:to>
      <xdr:col>11</xdr:col>
      <xdr:colOff>0</xdr:colOff>
      <xdr:row>9</xdr:row>
      <xdr:rowOff>128588</xdr:rowOff>
    </xdr:to>
    <xdr:cxnSp macro="">
      <xdr:nvCxnSpPr>
        <xdr:cNvPr id="3" name="Gerade Verbindung mit Pfeil 2"/>
        <xdr:cNvCxnSpPr/>
      </xdr:nvCxnSpPr>
      <xdr:spPr>
        <a:xfrm>
          <a:off x="6419850" y="1890713"/>
          <a:ext cx="3648075"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352425</xdr:colOff>
      <xdr:row>10</xdr:row>
      <xdr:rowOff>152400</xdr:rowOff>
    </xdr:from>
    <xdr:to>
      <xdr:col>6</xdr:col>
      <xdr:colOff>357188</xdr:colOff>
      <xdr:row>37</xdr:row>
      <xdr:rowOff>47625</xdr:rowOff>
    </xdr:to>
    <xdr:cxnSp macro="">
      <xdr:nvCxnSpPr>
        <xdr:cNvPr id="4" name="Gerade Verbindung mit Pfeil 3"/>
        <xdr:cNvCxnSpPr/>
      </xdr:nvCxnSpPr>
      <xdr:spPr>
        <a:xfrm flipH="1">
          <a:off x="6229350" y="2105025"/>
          <a:ext cx="4763" cy="333375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19050</xdr:colOff>
      <xdr:row>10</xdr:row>
      <xdr:rowOff>152400</xdr:rowOff>
    </xdr:from>
    <xdr:to>
      <xdr:col>7</xdr:col>
      <xdr:colOff>238125</xdr:colOff>
      <xdr:row>37</xdr:row>
      <xdr:rowOff>28575</xdr:rowOff>
    </xdr:to>
    <xdr:sp macro="" textlink="">
      <xdr:nvSpPr>
        <xdr:cNvPr id="5" name="Rechteck 4"/>
        <xdr:cNvSpPr/>
      </xdr:nvSpPr>
      <xdr:spPr>
        <a:xfrm>
          <a:off x="6657975" y="2105025"/>
          <a:ext cx="219075" cy="3314700"/>
        </a:xfrm>
        <a:prstGeom prst="rect">
          <a:avLst/>
        </a:prstGeom>
        <a:solidFill>
          <a:schemeClr val="bg2">
            <a:lumMod val="50000"/>
          </a:schemeClr>
        </a:solidFill>
        <a:ln>
          <a:solidFill>
            <a:schemeClr val="bg2">
              <a:lumMod val="1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de-DE" sz="1100"/>
        </a:p>
      </xdr:txBody>
    </xdr:sp>
    <xdr:clientData/>
  </xdr:twoCellAnchor>
  <xdr:twoCellAnchor>
    <xdr:from>
      <xdr:col>6</xdr:col>
      <xdr:colOff>552450</xdr:colOff>
      <xdr:row>10</xdr:row>
      <xdr:rowOff>152400</xdr:rowOff>
    </xdr:from>
    <xdr:to>
      <xdr:col>7</xdr:col>
      <xdr:colOff>9525</xdr:colOff>
      <xdr:row>37</xdr:row>
      <xdr:rowOff>28575</xdr:rowOff>
    </xdr:to>
    <xdr:sp macro="" textlink="">
      <xdr:nvSpPr>
        <xdr:cNvPr id="6" name="Rechteck 5"/>
        <xdr:cNvSpPr/>
      </xdr:nvSpPr>
      <xdr:spPr>
        <a:xfrm>
          <a:off x="6429375" y="2105025"/>
          <a:ext cx="219075" cy="3314700"/>
        </a:xfrm>
        <a:prstGeom prst="rect">
          <a:avLst/>
        </a:prstGeom>
        <a:solidFill>
          <a:schemeClr val="bg2">
            <a:lumMod val="50000"/>
          </a:schemeClr>
        </a:solidFill>
        <a:ln>
          <a:solidFill>
            <a:schemeClr val="bg2">
              <a:lumMod val="1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de-DE" sz="1100"/>
        </a:p>
      </xdr:txBody>
    </xdr:sp>
    <xdr:clientData/>
  </xdr:twoCellAnchor>
  <xdr:twoCellAnchor>
    <xdr:from>
      <xdr:col>7</xdr:col>
      <xdr:colOff>238125</xdr:colOff>
      <xdr:row>10</xdr:row>
      <xdr:rowOff>152400</xdr:rowOff>
    </xdr:from>
    <xdr:to>
      <xdr:col>7</xdr:col>
      <xdr:colOff>457200</xdr:colOff>
      <xdr:row>37</xdr:row>
      <xdr:rowOff>28575</xdr:rowOff>
    </xdr:to>
    <xdr:sp macro="" textlink="">
      <xdr:nvSpPr>
        <xdr:cNvPr id="7" name="Rechteck 6"/>
        <xdr:cNvSpPr/>
      </xdr:nvSpPr>
      <xdr:spPr>
        <a:xfrm>
          <a:off x="6877050" y="2105025"/>
          <a:ext cx="219075" cy="3314700"/>
        </a:xfrm>
        <a:prstGeom prst="rect">
          <a:avLst/>
        </a:prstGeom>
        <a:solidFill>
          <a:schemeClr val="bg2">
            <a:lumMod val="50000"/>
          </a:schemeClr>
        </a:solidFill>
        <a:ln>
          <a:solidFill>
            <a:schemeClr val="bg2">
              <a:lumMod val="1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de-DE" sz="1100"/>
        </a:p>
      </xdr:txBody>
    </xdr:sp>
    <xdr:clientData/>
  </xdr:twoCellAnchor>
  <xdr:oneCellAnchor>
    <xdr:from>
      <xdr:col>8</xdr:col>
      <xdr:colOff>485775</xdr:colOff>
      <xdr:row>8</xdr:row>
      <xdr:rowOff>57150</xdr:rowOff>
    </xdr:from>
    <xdr:ext cx="580031" cy="264560"/>
    <xdr:sp macro="" textlink="">
      <xdr:nvSpPr>
        <xdr:cNvPr id="8" name="Textfeld 7"/>
        <xdr:cNvSpPr txBox="1"/>
      </xdr:nvSpPr>
      <xdr:spPr>
        <a:xfrm>
          <a:off x="7886700" y="1628775"/>
          <a:ext cx="5800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de-DE" sz="1100"/>
            <a:t>BREITE</a:t>
          </a:r>
        </a:p>
      </xdr:txBody>
    </xdr:sp>
    <xdr:clientData/>
  </xdr:oneCellAnchor>
  <xdr:oneCellAnchor>
    <xdr:from>
      <xdr:col>6</xdr:col>
      <xdr:colOff>59728</xdr:colOff>
      <xdr:row>28</xdr:row>
      <xdr:rowOff>85725</xdr:rowOff>
    </xdr:from>
    <xdr:ext cx="264560" cy="574516"/>
    <xdr:sp macro="" textlink="">
      <xdr:nvSpPr>
        <xdr:cNvPr id="9" name="Textfeld 8"/>
        <xdr:cNvSpPr txBox="1"/>
      </xdr:nvSpPr>
      <xdr:spPr>
        <a:xfrm rot="16200000">
          <a:off x="5781675" y="3917353"/>
          <a:ext cx="57451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de-DE" sz="1100"/>
            <a:t>LÄNGE</a:t>
          </a:r>
        </a:p>
      </xdr:txBody>
    </xdr:sp>
    <xdr:clientData/>
  </xdr:oneCellAnchor>
  <xdr:oneCellAnchor>
    <xdr:from>
      <xdr:col>8</xdr:col>
      <xdr:colOff>485775</xdr:colOff>
      <xdr:row>8</xdr:row>
      <xdr:rowOff>57150</xdr:rowOff>
    </xdr:from>
    <xdr:ext cx="580031" cy="264560"/>
    <xdr:sp macro="" textlink="">
      <xdr:nvSpPr>
        <xdr:cNvPr id="10" name="Textfeld 9"/>
        <xdr:cNvSpPr txBox="1"/>
      </xdr:nvSpPr>
      <xdr:spPr>
        <a:xfrm>
          <a:off x="7886700" y="1628775"/>
          <a:ext cx="5800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de-DE" sz="1100"/>
            <a:t>BREITE</a:t>
          </a: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6</xdr:col>
      <xdr:colOff>561975</xdr:colOff>
      <xdr:row>10</xdr:row>
      <xdr:rowOff>152400</xdr:rowOff>
    </xdr:from>
    <xdr:to>
      <xdr:col>11</xdr:col>
      <xdr:colOff>19050</xdr:colOff>
      <xdr:row>37</xdr:row>
      <xdr:rowOff>28575</xdr:rowOff>
    </xdr:to>
    <xdr:sp macro="" textlink="">
      <xdr:nvSpPr>
        <xdr:cNvPr id="2" name="Rechteck 1"/>
        <xdr:cNvSpPr/>
      </xdr:nvSpPr>
      <xdr:spPr>
        <a:xfrm>
          <a:off x="6438900" y="2105025"/>
          <a:ext cx="3648075" cy="5029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de-DE" sz="1100"/>
        </a:p>
      </xdr:txBody>
    </xdr:sp>
    <xdr:clientData/>
  </xdr:twoCellAnchor>
  <xdr:twoCellAnchor>
    <xdr:from>
      <xdr:col>6</xdr:col>
      <xdr:colOff>542925</xdr:colOff>
      <xdr:row>9</xdr:row>
      <xdr:rowOff>128588</xdr:rowOff>
    </xdr:from>
    <xdr:to>
      <xdr:col>11</xdr:col>
      <xdr:colOff>0</xdr:colOff>
      <xdr:row>9</xdr:row>
      <xdr:rowOff>128588</xdr:rowOff>
    </xdr:to>
    <xdr:cxnSp macro="">
      <xdr:nvCxnSpPr>
        <xdr:cNvPr id="3" name="Gerade Verbindung mit Pfeil 2"/>
        <xdr:cNvCxnSpPr/>
      </xdr:nvCxnSpPr>
      <xdr:spPr>
        <a:xfrm>
          <a:off x="6419850" y="1890713"/>
          <a:ext cx="3648075"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352425</xdr:colOff>
      <xdr:row>10</xdr:row>
      <xdr:rowOff>152400</xdr:rowOff>
    </xdr:from>
    <xdr:to>
      <xdr:col>6</xdr:col>
      <xdr:colOff>357188</xdr:colOff>
      <xdr:row>37</xdr:row>
      <xdr:rowOff>47625</xdr:rowOff>
    </xdr:to>
    <xdr:cxnSp macro="">
      <xdr:nvCxnSpPr>
        <xdr:cNvPr id="4" name="Gerade Verbindung mit Pfeil 3"/>
        <xdr:cNvCxnSpPr/>
      </xdr:nvCxnSpPr>
      <xdr:spPr>
        <a:xfrm flipH="1">
          <a:off x="6229350" y="2105025"/>
          <a:ext cx="4763" cy="504825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19050</xdr:colOff>
      <xdr:row>10</xdr:row>
      <xdr:rowOff>152400</xdr:rowOff>
    </xdr:from>
    <xdr:to>
      <xdr:col>7</xdr:col>
      <xdr:colOff>238125</xdr:colOff>
      <xdr:row>37</xdr:row>
      <xdr:rowOff>28575</xdr:rowOff>
    </xdr:to>
    <xdr:sp macro="" textlink="">
      <xdr:nvSpPr>
        <xdr:cNvPr id="5" name="Rechteck 4"/>
        <xdr:cNvSpPr/>
      </xdr:nvSpPr>
      <xdr:spPr>
        <a:xfrm>
          <a:off x="6657975" y="2105025"/>
          <a:ext cx="219075" cy="5029200"/>
        </a:xfrm>
        <a:prstGeom prst="rect">
          <a:avLst/>
        </a:prstGeom>
        <a:solidFill>
          <a:schemeClr val="bg2">
            <a:lumMod val="50000"/>
          </a:schemeClr>
        </a:solidFill>
        <a:ln>
          <a:solidFill>
            <a:schemeClr val="bg2">
              <a:lumMod val="1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de-DE" sz="1100"/>
        </a:p>
      </xdr:txBody>
    </xdr:sp>
    <xdr:clientData/>
  </xdr:twoCellAnchor>
  <xdr:twoCellAnchor>
    <xdr:from>
      <xdr:col>6</xdr:col>
      <xdr:colOff>552450</xdr:colOff>
      <xdr:row>10</xdr:row>
      <xdr:rowOff>152400</xdr:rowOff>
    </xdr:from>
    <xdr:to>
      <xdr:col>7</xdr:col>
      <xdr:colOff>9525</xdr:colOff>
      <xdr:row>37</xdr:row>
      <xdr:rowOff>28575</xdr:rowOff>
    </xdr:to>
    <xdr:sp macro="" textlink="">
      <xdr:nvSpPr>
        <xdr:cNvPr id="6" name="Rechteck 5"/>
        <xdr:cNvSpPr/>
      </xdr:nvSpPr>
      <xdr:spPr>
        <a:xfrm>
          <a:off x="6429375" y="2105025"/>
          <a:ext cx="219075" cy="5029200"/>
        </a:xfrm>
        <a:prstGeom prst="rect">
          <a:avLst/>
        </a:prstGeom>
        <a:solidFill>
          <a:schemeClr val="bg2">
            <a:lumMod val="50000"/>
          </a:schemeClr>
        </a:solidFill>
        <a:ln>
          <a:solidFill>
            <a:schemeClr val="bg2">
              <a:lumMod val="1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de-DE" sz="1100"/>
        </a:p>
      </xdr:txBody>
    </xdr:sp>
    <xdr:clientData/>
  </xdr:twoCellAnchor>
  <xdr:twoCellAnchor>
    <xdr:from>
      <xdr:col>7</xdr:col>
      <xdr:colOff>238125</xdr:colOff>
      <xdr:row>10</xdr:row>
      <xdr:rowOff>152400</xdr:rowOff>
    </xdr:from>
    <xdr:to>
      <xdr:col>7</xdr:col>
      <xdr:colOff>457200</xdr:colOff>
      <xdr:row>37</xdr:row>
      <xdr:rowOff>28575</xdr:rowOff>
    </xdr:to>
    <xdr:sp macro="" textlink="">
      <xdr:nvSpPr>
        <xdr:cNvPr id="7" name="Rechteck 6"/>
        <xdr:cNvSpPr/>
      </xdr:nvSpPr>
      <xdr:spPr>
        <a:xfrm>
          <a:off x="6877050" y="2105025"/>
          <a:ext cx="219075" cy="5029200"/>
        </a:xfrm>
        <a:prstGeom prst="rect">
          <a:avLst/>
        </a:prstGeom>
        <a:solidFill>
          <a:schemeClr val="bg2">
            <a:lumMod val="50000"/>
          </a:schemeClr>
        </a:solidFill>
        <a:ln>
          <a:solidFill>
            <a:schemeClr val="bg2">
              <a:lumMod val="1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de-DE" sz="1100"/>
        </a:p>
      </xdr:txBody>
    </xdr:sp>
    <xdr:clientData/>
  </xdr:twoCellAnchor>
  <xdr:oneCellAnchor>
    <xdr:from>
      <xdr:col>8</xdr:col>
      <xdr:colOff>485775</xdr:colOff>
      <xdr:row>8</xdr:row>
      <xdr:rowOff>57150</xdr:rowOff>
    </xdr:from>
    <xdr:ext cx="580031" cy="264560"/>
    <xdr:sp macro="" textlink="">
      <xdr:nvSpPr>
        <xdr:cNvPr id="8" name="Textfeld 7"/>
        <xdr:cNvSpPr txBox="1"/>
      </xdr:nvSpPr>
      <xdr:spPr>
        <a:xfrm>
          <a:off x="7886700" y="1628775"/>
          <a:ext cx="5800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de-DE" sz="1100"/>
            <a:t>BREITE</a:t>
          </a:r>
        </a:p>
      </xdr:txBody>
    </xdr:sp>
    <xdr:clientData/>
  </xdr:oneCellAnchor>
  <xdr:oneCellAnchor>
    <xdr:from>
      <xdr:col>6</xdr:col>
      <xdr:colOff>59728</xdr:colOff>
      <xdr:row>28</xdr:row>
      <xdr:rowOff>85725</xdr:rowOff>
    </xdr:from>
    <xdr:ext cx="264560" cy="574516"/>
    <xdr:sp macro="" textlink="">
      <xdr:nvSpPr>
        <xdr:cNvPr id="9" name="Textfeld 8"/>
        <xdr:cNvSpPr txBox="1"/>
      </xdr:nvSpPr>
      <xdr:spPr>
        <a:xfrm rot="16200000">
          <a:off x="5781675" y="5631853"/>
          <a:ext cx="57451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de-DE" sz="1100"/>
            <a:t>LÄNGE</a:t>
          </a: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6</xdr:col>
      <xdr:colOff>561975</xdr:colOff>
      <xdr:row>10</xdr:row>
      <xdr:rowOff>152400</xdr:rowOff>
    </xdr:from>
    <xdr:to>
      <xdr:col>11</xdr:col>
      <xdr:colOff>19050</xdr:colOff>
      <xdr:row>37</xdr:row>
      <xdr:rowOff>28575</xdr:rowOff>
    </xdr:to>
    <xdr:sp macro="" textlink="">
      <xdr:nvSpPr>
        <xdr:cNvPr id="2" name="Rechteck 1"/>
        <xdr:cNvSpPr/>
      </xdr:nvSpPr>
      <xdr:spPr>
        <a:xfrm>
          <a:off x="6438900" y="1724025"/>
          <a:ext cx="3648075" cy="31623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de-DE" sz="1100"/>
        </a:p>
      </xdr:txBody>
    </xdr:sp>
    <xdr:clientData/>
  </xdr:twoCellAnchor>
  <xdr:twoCellAnchor>
    <xdr:from>
      <xdr:col>7</xdr:col>
      <xdr:colOff>95250</xdr:colOff>
      <xdr:row>9</xdr:row>
      <xdr:rowOff>185738</xdr:rowOff>
    </xdr:from>
    <xdr:to>
      <xdr:col>11</xdr:col>
      <xdr:colOff>314325</xdr:colOff>
      <xdr:row>9</xdr:row>
      <xdr:rowOff>185738</xdr:rowOff>
    </xdr:to>
    <xdr:cxnSp macro="">
      <xdr:nvCxnSpPr>
        <xdr:cNvPr id="3" name="Gerade Verbindung mit Pfeil 2"/>
        <xdr:cNvCxnSpPr/>
      </xdr:nvCxnSpPr>
      <xdr:spPr>
        <a:xfrm>
          <a:off x="6734175" y="1947863"/>
          <a:ext cx="3648075"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352425</xdr:colOff>
      <xdr:row>10</xdr:row>
      <xdr:rowOff>152400</xdr:rowOff>
    </xdr:from>
    <xdr:to>
      <xdr:col>6</xdr:col>
      <xdr:colOff>357188</xdr:colOff>
      <xdr:row>37</xdr:row>
      <xdr:rowOff>47625</xdr:rowOff>
    </xdr:to>
    <xdr:cxnSp macro="">
      <xdr:nvCxnSpPr>
        <xdr:cNvPr id="4" name="Gerade Verbindung mit Pfeil 3"/>
        <xdr:cNvCxnSpPr/>
      </xdr:nvCxnSpPr>
      <xdr:spPr>
        <a:xfrm flipH="1">
          <a:off x="6229350" y="1724025"/>
          <a:ext cx="4763" cy="318135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19050</xdr:colOff>
      <xdr:row>10</xdr:row>
      <xdr:rowOff>152400</xdr:rowOff>
    </xdr:from>
    <xdr:to>
      <xdr:col>7</xdr:col>
      <xdr:colOff>238125</xdr:colOff>
      <xdr:row>37</xdr:row>
      <xdr:rowOff>28575</xdr:rowOff>
    </xdr:to>
    <xdr:sp macro="" textlink="">
      <xdr:nvSpPr>
        <xdr:cNvPr id="5" name="Rechteck 4"/>
        <xdr:cNvSpPr/>
      </xdr:nvSpPr>
      <xdr:spPr>
        <a:xfrm>
          <a:off x="6657975" y="1724025"/>
          <a:ext cx="219075" cy="3162300"/>
        </a:xfrm>
        <a:prstGeom prst="rect">
          <a:avLst/>
        </a:prstGeom>
        <a:solidFill>
          <a:schemeClr val="bg2">
            <a:lumMod val="50000"/>
          </a:schemeClr>
        </a:solidFill>
        <a:ln>
          <a:solidFill>
            <a:schemeClr val="bg2">
              <a:lumMod val="1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de-DE" sz="1100"/>
        </a:p>
      </xdr:txBody>
    </xdr:sp>
    <xdr:clientData/>
  </xdr:twoCellAnchor>
  <xdr:twoCellAnchor>
    <xdr:from>
      <xdr:col>6</xdr:col>
      <xdr:colOff>552450</xdr:colOff>
      <xdr:row>10</xdr:row>
      <xdr:rowOff>152400</xdr:rowOff>
    </xdr:from>
    <xdr:to>
      <xdr:col>7</xdr:col>
      <xdr:colOff>9525</xdr:colOff>
      <xdr:row>37</xdr:row>
      <xdr:rowOff>28575</xdr:rowOff>
    </xdr:to>
    <xdr:sp macro="" textlink="">
      <xdr:nvSpPr>
        <xdr:cNvPr id="6" name="Rechteck 5"/>
        <xdr:cNvSpPr/>
      </xdr:nvSpPr>
      <xdr:spPr>
        <a:xfrm>
          <a:off x="6429375" y="1724025"/>
          <a:ext cx="219075" cy="3162300"/>
        </a:xfrm>
        <a:prstGeom prst="rect">
          <a:avLst/>
        </a:prstGeom>
        <a:solidFill>
          <a:schemeClr val="bg2">
            <a:lumMod val="50000"/>
          </a:schemeClr>
        </a:solidFill>
        <a:ln>
          <a:solidFill>
            <a:schemeClr val="bg2">
              <a:lumMod val="1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de-DE" sz="1100"/>
        </a:p>
      </xdr:txBody>
    </xdr:sp>
    <xdr:clientData/>
  </xdr:twoCellAnchor>
  <xdr:twoCellAnchor>
    <xdr:from>
      <xdr:col>7</xdr:col>
      <xdr:colOff>238125</xdr:colOff>
      <xdr:row>10</xdr:row>
      <xdr:rowOff>152400</xdr:rowOff>
    </xdr:from>
    <xdr:to>
      <xdr:col>7</xdr:col>
      <xdr:colOff>457200</xdr:colOff>
      <xdr:row>37</xdr:row>
      <xdr:rowOff>28575</xdr:rowOff>
    </xdr:to>
    <xdr:sp macro="" textlink="">
      <xdr:nvSpPr>
        <xdr:cNvPr id="7" name="Rechteck 6"/>
        <xdr:cNvSpPr/>
      </xdr:nvSpPr>
      <xdr:spPr>
        <a:xfrm>
          <a:off x="6877050" y="1724025"/>
          <a:ext cx="219075" cy="3162300"/>
        </a:xfrm>
        <a:prstGeom prst="rect">
          <a:avLst/>
        </a:prstGeom>
        <a:solidFill>
          <a:schemeClr val="bg2">
            <a:lumMod val="50000"/>
          </a:schemeClr>
        </a:solidFill>
        <a:ln>
          <a:solidFill>
            <a:schemeClr val="bg2">
              <a:lumMod val="1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de-DE" sz="1100"/>
        </a:p>
      </xdr:txBody>
    </xdr:sp>
    <xdr:clientData/>
  </xdr:twoCellAnchor>
  <xdr:oneCellAnchor>
    <xdr:from>
      <xdr:col>8</xdr:col>
      <xdr:colOff>485775</xdr:colOff>
      <xdr:row>8</xdr:row>
      <xdr:rowOff>57150</xdr:rowOff>
    </xdr:from>
    <xdr:ext cx="580031" cy="264560"/>
    <xdr:sp macro="" textlink="">
      <xdr:nvSpPr>
        <xdr:cNvPr id="8" name="Textfeld 7"/>
        <xdr:cNvSpPr txBox="1"/>
      </xdr:nvSpPr>
      <xdr:spPr>
        <a:xfrm>
          <a:off x="7886700" y="1619250"/>
          <a:ext cx="5800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de-DE" sz="1100"/>
            <a:t>BREITE</a:t>
          </a:r>
        </a:p>
      </xdr:txBody>
    </xdr:sp>
    <xdr:clientData/>
  </xdr:oneCellAnchor>
  <xdr:oneCellAnchor>
    <xdr:from>
      <xdr:col>6</xdr:col>
      <xdr:colOff>59728</xdr:colOff>
      <xdr:row>28</xdr:row>
      <xdr:rowOff>85725</xdr:rowOff>
    </xdr:from>
    <xdr:ext cx="264560" cy="574516"/>
    <xdr:sp macro="" textlink="">
      <xdr:nvSpPr>
        <xdr:cNvPr id="9" name="Textfeld 8"/>
        <xdr:cNvSpPr txBox="1"/>
      </xdr:nvSpPr>
      <xdr:spPr>
        <a:xfrm rot="16200000">
          <a:off x="5781675" y="3526828"/>
          <a:ext cx="57451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de-DE" sz="1100"/>
            <a:t>LÄNGE</a:t>
          </a:r>
        </a:p>
      </xdr:txBody>
    </xdr:sp>
    <xdr:clientData/>
  </xdr:one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deckplanning.rehau.com/en/configurator/terms-en" TargetMode="External"/><Relationship Id="rId1" Type="http://schemas.openxmlformats.org/officeDocument/2006/relationships/hyperlink" Target="http://i.deckplanning.rehau.com/de/content/relazzo-produktkonfigurator?et=QemEss"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56"/>
  <sheetViews>
    <sheetView tabSelected="1" view="pageBreakPreview" zoomScale="80" zoomScaleNormal="80" zoomScaleSheetLayoutView="80" workbookViewId="0">
      <selection activeCell="N1" sqref="N1"/>
    </sheetView>
  </sheetViews>
  <sheetFormatPr baseColWidth="10" defaultRowHeight="15" x14ac:dyDescent="0.25"/>
  <cols>
    <col min="1" max="1" width="5.42578125" customWidth="1"/>
    <col min="2" max="2" width="7.7109375" customWidth="1"/>
    <col min="3" max="3" width="22.7109375" customWidth="1"/>
    <col min="4" max="5" width="13.42578125" customWidth="1"/>
    <col min="6" max="6" width="14.42578125" customWidth="1"/>
    <col min="7" max="7" width="14.28515625" customWidth="1"/>
    <col min="8" max="8" width="15" customWidth="1"/>
    <col min="9" max="9" width="7.5703125" customWidth="1"/>
    <col min="10" max="10" width="8.42578125" customWidth="1"/>
    <col min="11" max="11" width="8.7109375" customWidth="1"/>
    <col min="12" max="12" width="9.85546875" customWidth="1"/>
    <col min="13" max="13" width="14.85546875" customWidth="1"/>
    <col min="14" max="14" width="12.42578125" bestFit="1" customWidth="1"/>
    <col min="15" max="15" width="10.7109375" bestFit="1" customWidth="1"/>
    <col min="16" max="16" width="10.28515625" customWidth="1"/>
    <col min="17" max="17" width="9.140625" customWidth="1"/>
    <col min="18" max="18" width="18.140625" customWidth="1"/>
    <col min="19" max="19" width="11.85546875" customWidth="1"/>
    <col min="20" max="20" width="3.42578125" hidden="1" customWidth="1"/>
    <col min="21" max="23" width="0" hidden="1" customWidth="1"/>
    <col min="24" max="24" width="5" customWidth="1"/>
    <col min="25" max="25" width="3.7109375" customWidth="1"/>
  </cols>
  <sheetData>
    <row r="1" spans="1:22" ht="51" customHeight="1" thickBot="1" x14ac:dyDescent="0.3">
      <c r="A1" s="79" t="str">
        <f>IF(N1="DEUTSCH","    1: MATERIALBEDARFSRECHNER: RELAZZO","    1: MATERIAL REQUISITION CALCULATOR: RELAZZO")</f>
        <v xml:space="preserve">    1: MATERIALBEDARFSRECHNER: RELAZZO</v>
      </c>
      <c r="B1" s="78"/>
      <c r="C1" s="78"/>
      <c r="D1" s="64"/>
      <c r="E1" s="64"/>
      <c r="F1" s="65"/>
      <c r="G1" s="65"/>
      <c r="H1" s="65"/>
      <c r="I1" s="65"/>
      <c r="J1" s="65"/>
      <c r="K1" s="65"/>
      <c r="L1" s="65"/>
      <c r="M1" s="65"/>
      <c r="N1" s="66" t="s">
        <v>41</v>
      </c>
      <c r="O1" s="67"/>
      <c r="P1" s="91"/>
      <c r="Q1" s="91"/>
      <c r="R1" s="69" t="str">
        <f>IF(N1="ENGLISH","User Input","Benutzereingaben")</f>
        <v>Benutzereingaben</v>
      </c>
      <c r="S1" s="70" t="str">
        <f>IF(N1="ENGLISH","Calculation","Berechnung")</f>
        <v>Berechnung</v>
      </c>
      <c r="T1" s="68"/>
    </row>
    <row r="2" spans="1:22" ht="24" thickTop="1" x14ac:dyDescent="0.25">
      <c r="A2" s="62"/>
      <c r="B2" s="63"/>
      <c r="C2" s="63"/>
      <c r="D2" s="63"/>
      <c r="E2" s="63"/>
      <c r="F2" s="63"/>
      <c r="G2" s="63"/>
      <c r="H2" s="63"/>
      <c r="I2" s="63"/>
      <c r="J2" s="63"/>
      <c r="K2" s="63"/>
      <c r="L2" s="63"/>
      <c r="M2" s="63"/>
      <c r="N2" s="63"/>
      <c r="O2" s="63"/>
      <c r="P2" s="63"/>
      <c r="Q2" s="63"/>
      <c r="R2" s="63"/>
      <c r="S2" s="44"/>
      <c r="T2" s="63"/>
    </row>
    <row r="3" spans="1:22" ht="23.25" x14ac:dyDescent="0.25">
      <c r="A3" s="2"/>
      <c r="B3" s="85" t="str">
        <f>IF(N1="DEUTSCH","EINGABEN:","INPUT:")</f>
        <v>EINGABEN:</v>
      </c>
      <c r="C3" s="85"/>
      <c r="D3" s="72"/>
      <c r="E3" s="72"/>
      <c r="F3" s="72"/>
      <c r="G3" s="72"/>
      <c r="H3" s="71"/>
      <c r="I3" s="71"/>
      <c r="J3" s="71"/>
      <c r="K3" s="71"/>
      <c r="L3" s="71"/>
      <c r="M3" s="63"/>
      <c r="N3" s="63"/>
      <c r="O3" s="63" t="str">
        <f>F7</f>
        <v>Breite</v>
      </c>
      <c r="P3" s="63"/>
      <c r="Q3" s="63"/>
      <c r="R3" s="1"/>
      <c r="S3" s="1"/>
      <c r="T3" s="1"/>
      <c r="V3" t="str">
        <f>IF($N$1="DEUTSCH","KEIN","NO")</f>
        <v>KEIN</v>
      </c>
    </row>
    <row r="4" spans="1:22" ht="23.25" x14ac:dyDescent="0.25">
      <c r="A4" s="2"/>
      <c r="B4" s="71"/>
      <c r="C4" s="71"/>
      <c r="D4" s="71"/>
      <c r="E4" s="71"/>
      <c r="F4" s="71"/>
      <c r="G4" s="71"/>
      <c r="H4" s="71"/>
      <c r="I4" s="71"/>
      <c r="J4" s="71"/>
      <c r="K4" s="71"/>
      <c r="L4" s="71"/>
      <c r="M4" s="63"/>
      <c r="N4" s="63"/>
      <c r="O4" s="63"/>
      <c r="P4" s="63"/>
      <c r="Q4" s="63"/>
      <c r="R4" s="1"/>
      <c r="S4" s="1"/>
      <c r="T4" s="1"/>
      <c r="V4" t="str">
        <f>IF($N$1="DEUTSCH","Gummi pads","Rubber pads")</f>
        <v>Gummi pads</v>
      </c>
    </row>
    <row r="5" spans="1:22" ht="23.25" x14ac:dyDescent="0.25">
      <c r="A5" s="2"/>
      <c r="B5" s="76" t="str">
        <f>IF($N$1="DEUTSCH","DIELE","BOARD")</f>
        <v>DIELE</v>
      </c>
      <c r="C5" s="76"/>
      <c r="D5" s="77"/>
      <c r="E5" s="77"/>
      <c r="F5" s="76" t="str">
        <f>IF($N$1="DEUTSCH","Länge","Length")</f>
        <v>Länge</v>
      </c>
      <c r="G5" s="76"/>
      <c r="H5" s="83">
        <v>4</v>
      </c>
      <c r="I5" s="80"/>
      <c r="J5" s="80"/>
      <c r="K5" s="74"/>
      <c r="L5" s="74"/>
      <c r="M5" s="63"/>
      <c r="N5" s="63"/>
      <c r="O5" s="63"/>
      <c r="P5" s="63"/>
      <c r="Q5" s="63"/>
      <c r="R5" s="1"/>
      <c r="S5" s="1"/>
      <c r="T5" s="1"/>
      <c r="V5" t="str">
        <f>IF($N$1="DEUTSCH","30-50 Justierfuß","30-50 Pedestal")</f>
        <v>30-50 Justierfuß</v>
      </c>
    </row>
    <row r="6" spans="1:22" ht="9.75" customHeight="1" thickBot="1" x14ac:dyDescent="0.3">
      <c r="A6" s="2"/>
      <c r="B6" s="1"/>
      <c r="C6" s="1"/>
      <c r="D6" s="1"/>
      <c r="E6" s="1"/>
      <c r="F6" s="1"/>
      <c r="G6" s="1"/>
      <c r="H6" s="1"/>
      <c r="I6" s="73"/>
      <c r="J6" s="73"/>
      <c r="K6" s="63"/>
      <c r="L6" s="63"/>
      <c r="M6" s="63"/>
      <c r="N6" s="63"/>
      <c r="O6" s="63"/>
      <c r="P6" s="63"/>
      <c r="Q6" s="63"/>
      <c r="R6" s="1"/>
      <c r="S6" s="1"/>
      <c r="T6" s="1"/>
      <c r="V6" t="str">
        <f>IF($N$1="DEUTSCH","50-90 Justierfuß","50-90 Pedestal")</f>
        <v>50-90 Justierfuß</v>
      </c>
    </row>
    <row r="7" spans="1:22" ht="23.25" x14ac:dyDescent="0.25">
      <c r="A7" s="2"/>
      <c r="B7" s="76" t="str">
        <f>IF($N$1="DEUTSCH","TERRASSE","TERRACE")</f>
        <v>TERRASSE</v>
      </c>
      <c r="C7" s="76"/>
      <c r="D7" s="77"/>
      <c r="E7" s="77"/>
      <c r="F7" s="76" t="str">
        <f>IF($N$1="DEUTSCH","Breite","Width")</f>
        <v>Breite</v>
      </c>
      <c r="G7" s="76"/>
      <c r="H7" s="84">
        <v>10</v>
      </c>
      <c r="I7" s="195" t="s">
        <v>28</v>
      </c>
      <c r="J7" s="196">
        <f>H7*H8</f>
        <v>100</v>
      </c>
      <c r="K7" s="197"/>
      <c r="L7" s="198"/>
      <c r="M7" s="42"/>
      <c r="N7" s="63"/>
      <c r="O7" s="63"/>
      <c r="P7" s="63"/>
      <c r="Q7" s="63"/>
      <c r="R7" s="1"/>
      <c r="S7" s="1"/>
      <c r="T7" s="1"/>
    </row>
    <row r="8" spans="1:22" ht="24" thickBot="1" x14ac:dyDescent="0.3">
      <c r="A8" s="2"/>
      <c r="B8" s="76"/>
      <c r="C8" s="76"/>
      <c r="D8" s="77"/>
      <c r="E8" s="77"/>
      <c r="F8" s="76" t="str">
        <f>IF($N$1="DEUTSCH","Länge","Length")</f>
        <v>Länge</v>
      </c>
      <c r="G8" s="76"/>
      <c r="H8" s="84">
        <v>10</v>
      </c>
      <c r="I8" s="195"/>
      <c r="J8" s="199"/>
      <c r="K8" s="200"/>
      <c r="L8" s="201"/>
      <c r="M8" s="184" t="str">
        <f>F8</f>
        <v>Länge</v>
      </c>
      <c r="N8" s="63"/>
      <c r="O8" s="45"/>
      <c r="P8" s="45"/>
      <c r="Q8" s="45"/>
      <c r="R8" s="1"/>
      <c r="S8" s="1"/>
      <c r="T8" s="1"/>
      <c r="V8" t="s">
        <v>31</v>
      </c>
    </row>
    <row r="9" spans="1:22" ht="8.25" customHeight="1" x14ac:dyDescent="0.25">
      <c r="A9" s="2"/>
      <c r="B9" s="1"/>
      <c r="C9" s="1"/>
      <c r="D9" s="1"/>
      <c r="E9" s="1"/>
      <c r="F9" s="1"/>
      <c r="G9" s="1"/>
      <c r="H9" s="1"/>
      <c r="I9" s="1"/>
      <c r="J9" s="1"/>
      <c r="K9" s="63"/>
      <c r="L9" s="63"/>
      <c r="M9" s="1"/>
      <c r="N9" s="1"/>
      <c r="O9" s="71"/>
      <c r="P9" s="71"/>
      <c r="Q9" s="71"/>
      <c r="R9" s="1"/>
      <c r="S9" s="1"/>
      <c r="T9" s="1"/>
    </row>
    <row r="10" spans="1:22" ht="23.25" x14ac:dyDescent="0.25">
      <c r="A10" s="2"/>
      <c r="B10" s="76" t="str">
        <f>IF($N$1="DEUTSCH","UNTERKONSTRUKTION","SUBCONSTRUCTION")</f>
        <v>UNTERKONSTRUKTION</v>
      </c>
      <c r="C10" s="76"/>
      <c r="D10" s="77"/>
      <c r="E10" s="77"/>
      <c r="F10" s="76"/>
      <c r="G10" s="76"/>
      <c r="H10" s="75" t="s">
        <v>48</v>
      </c>
      <c r="I10" s="1"/>
      <c r="J10" s="1"/>
      <c r="K10" s="63"/>
      <c r="L10" s="63"/>
      <c r="M10" s="1"/>
      <c r="N10" s="1"/>
      <c r="O10" s="1"/>
      <c r="P10" s="1"/>
      <c r="Q10" s="1"/>
      <c r="R10" s="1"/>
      <c r="S10" s="1"/>
      <c r="T10" s="1"/>
    </row>
    <row r="11" spans="1:22" ht="8.25" customHeight="1" x14ac:dyDescent="0.25">
      <c r="A11" s="2"/>
      <c r="B11" s="1"/>
      <c r="C11" s="1"/>
      <c r="D11" s="1"/>
      <c r="E11" s="1"/>
      <c r="F11" s="1"/>
      <c r="G11" s="1"/>
      <c r="H11" s="1"/>
      <c r="I11" s="1"/>
      <c r="J11" s="1"/>
      <c r="K11" s="1"/>
      <c r="L11" s="1"/>
      <c r="M11" s="1"/>
      <c r="N11" s="1"/>
      <c r="O11" s="1"/>
      <c r="P11" s="1"/>
      <c r="Q11" s="1"/>
      <c r="R11" s="1"/>
      <c r="S11" s="1"/>
      <c r="T11" s="1"/>
    </row>
    <row r="12" spans="1:22" x14ac:dyDescent="0.25">
      <c r="A12" s="2"/>
      <c r="B12" s="76" t="str">
        <f>IF($N$1="DEUTSCH","NIVEAUAUSGLEICH","LEVELING")</f>
        <v>NIVEAUAUSGLEICH</v>
      </c>
      <c r="C12" s="76"/>
      <c r="D12" s="77"/>
      <c r="E12" s="77"/>
      <c r="F12" s="76"/>
      <c r="G12" s="76"/>
      <c r="H12" s="75" t="s">
        <v>49</v>
      </c>
      <c r="I12" s="82" t="str">
        <f>IF(OR(H12="gummi pads",H12="rubber pads"),IF(N1="DEUTSCH","Berechnung für 3mm","Calculation for 3mm"),"")</f>
        <v/>
      </c>
      <c r="J12" s="82"/>
      <c r="K12" s="1"/>
      <c r="L12" s="1"/>
      <c r="M12" s="1"/>
      <c r="N12" s="1"/>
      <c r="O12" s="1"/>
      <c r="P12" s="1"/>
      <c r="Q12" s="1"/>
      <c r="R12" s="1"/>
      <c r="S12" s="1"/>
      <c r="T12" s="1"/>
    </row>
    <row r="13" spans="1:22" x14ac:dyDescent="0.25">
      <c r="A13" s="2"/>
      <c r="B13" s="76" t="str">
        <f>IF(N1="DEUTSCH","FLACHDACH","FLAT ROOF")</f>
        <v>FLACHDACH</v>
      </c>
      <c r="C13" s="76"/>
      <c r="D13" s="77"/>
      <c r="E13" s="77"/>
      <c r="F13" s="76"/>
      <c r="G13" s="76"/>
      <c r="H13" s="75"/>
      <c r="I13" s="81"/>
      <c r="J13" s="81"/>
      <c r="K13" s="1"/>
      <c r="L13" s="1"/>
      <c r="M13" s="1"/>
      <c r="N13" s="1"/>
      <c r="O13" s="1"/>
      <c r="P13" s="1"/>
      <c r="Q13" s="1"/>
      <c r="R13" s="1"/>
      <c r="S13" s="1"/>
      <c r="T13" s="1"/>
    </row>
    <row r="14" spans="1:22" x14ac:dyDescent="0.25">
      <c r="A14" s="2"/>
      <c r="B14" s="1"/>
      <c r="C14" s="1"/>
      <c r="D14" s="1"/>
      <c r="E14" s="1"/>
      <c r="F14" s="1"/>
      <c r="G14" s="1"/>
      <c r="H14" s="1"/>
      <c r="I14" s="1"/>
      <c r="J14" s="1"/>
      <c r="K14" s="1"/>
      <c r="L14" s="1"/>
      <c r="M14" s="1"/>
      <c r="N14" s="1"/>
      <c r="O14" s="1"/>
      <c r="P14" s="1"/>
      <c r="Q14" s="1"/>
      <c r="R14" s="1"/>
      <c r="S14" s="1"/>
      <c r="T14" s="1"/>
    </row>
    <row r="15" spans="1:22" x14ac:dyDescent="0.25">
      <c r="A15" s="2"/>
      <c r="B15" s="1"/>
      <c r="C15" s="1"/>
      <c r="D15" s="1"/>
      <c r="E15" s="1"/>
      <c r="F15" s="1"/>
      <c r="G15" s="1"/>
      <c r="H15" s="1"/>
      <c r="I15" s="1"/>
      <c r="J15" s="1"/>
      <c r="K15" s="1"/>
      <c r="L15" s="1"/>
      <c r="M15" s="1"/>
      <c r="N15" s="1"/>
      <c r="O15" s="1"/>
      <c r="P15" s="1"/>
      <c r="Q15" s="1"/>
      <c r="R15" s="1"/>
      <c r="S15" s="1"/>
      <c r="T15" s="1"/>
    </row>
    <row r="16" spans="1:22" x14ac:dyDescent="0.25">
      <c r="A16" s="2"/>
      <c r="B16" s="1"/>
      <c r="C16" s="1"/>
      <c r="D16" s="1"/>
      <c r="E16" s="1"/>
      <c r="F16" s="1"/>
      <c r="G16" s="1"/>
      <c r="H16" s="1"/>
      <c r="I16" s="1"/>
      <c r="J16" s="1"/>
      <c r="K16" s="1"/>
      <c r="L16" s="1"/>
      <c r="M16" s="1"/>
      <c r="N16" s="1"/>
      <c r="O16" s="1"/>
      <c r="P16" s="1"/>
      <c r="Q16" s="1"/>
      <c r="R16" s="1"/>
      <c r="S16" s="1"/>
      <c r="T16" s="1"/>
    </row>
    <row r="17" spans="1:20" ht="23.25" x14ac:dyDescent="0.25">
      <c r="A17" s="2"/>
      <c r="B17" s="85" t="str">
        <f>IF(N1="DEUTSCH","BEDARFSÜBERSICHT:","MATERIAL NEED")</f>
        <v>BEDARFSÜBERSICHT:</v>
      </c>
      <c r="C17" s="85"/>
      <c r="D17" s="72"/>
      <c r="E17" s="72"/>
      <c r="F17" s="72"/>
      <c r="G17" s="72"/>
      <c r="H17" s="1"/>
      <c r="I17" s="1"/>
      <c r="J17" s="1"/>
      <c r="K17" s="1"/>
      <c r="L17" s="1"/>
      <c r="M17" s="1"/>
      <c r="N17" s="1"/>
      <c r="O17" s="1"/>
      <c r="P17" s="1"/>
      <c r="Q17" s="1"/>
      <c r="R17" s="1"/>
      <c r="S17" s="1"/>
      <c r="T17" s="1"/>
    </row>
    <row r="18" spans="1:20" x14ac:dyDescent="0.25">
      <c r="A18" s="2"/>
      <c r="B18" s="1"/>
      <c r="C18" s="1"/>
      <c r="D18" s="1"/>
      <c r="E18" s="1"/>
      <c r="F18" s="1"/>
      <c r="G18" s="1"/>
      <c r="H18" s="1"/>
      <c r="I18" s="1"/>
      <c r="J18" s="1"/>
      <c r="K18" s="1"/>
      <c r="L18" s="1"/>
      <c r="M18" s="1"/>
      <c r="N18" s="1"/>
      <c r="O18" s="1"/>
      <c r="P18" s="1"/>
      <c r="Q18" s="1"/>
      <c r="R18" s="1"/>
      <c r="S18" s="1"/>
      <c r="T18" s="1"/>
    </row>
    <row r="19" spans="1:20" ht="15.75" thickBot="1" x14ac:dyDescent="0.3">
      <c r="A19" s="2"/>
      <c r="B19" s="1"/>
      <c r="C19" s="1"/>
      <c r="D19" s="193" t="str">
        <f>IF($N$1="DEUTSCH","ANZAHL","AMOUNT")</f>
        <v>ANZAHL</v>
      </c>
      <c r="E19" s="193"/>
      <c r="F19" s="193"/>
      <c r="G19" s="193"/>
      <c r="H19" s="1"/>
      <c r="I19" s="194" t="str">
        <f>IF($N$1="DEUTSCH","PREIS","PRICE")</f>
        <v>PREIS</v>
      </c>
      <c r="J19" s="194"/>
      <c r="K19" s="194"/>
      <c r="L19" s="61"/>
      <c r="M19" s="1"/>
      <c r="N19" s="194" t="str">
        <f>IF($N$1="DEUTSCH","GESAMPREIS","TOTAL PRICE")</f>
        <v>GESAMPREIS</v>
      </c>
      <c r="O19" s="194"/>
      <c r="P19" s="61"/>
      <c r="Q19" s="61"/>
      <c r="R19" s="1"/>
      <c r="S19" s="1"/>
    </row>
    <row r="20" spans="1:20" ht="47.25" customHeight="1" thickBot="1" x14ac:dyDescent="0.3">
      <c r="A20" s="2"/>
      <c r="B20" s="1"/>
      <c r="C20" s="1"/>
      <c r="D20" s="86" t="s">
        <v>44</v>
      </c>
      <c r="E20" s="86" t="s">
        <v>46</v>
      </c>
      <c r="F20" s="86" t="s">
        <v>43</v>
      </c>
      <c r="G20" s="86" t="s">
        <v>45</v>
      </c>
      <c r="H20" s="44"/>
      <c r="I20" s="117" t="s">
        <v>44</v>
      </c>
      <c r="J20" s="86" t="s">
        <v>46</v>
      </c>
      <c r="K20" s="86" t="s">
        <v>43</v>
      </c>
      <c r="L20" s="87" t="s">
        <v>45</v>
      </c>
      <c r="M20" s="44"/>
      <c r="N20" s="86" t="s">
        <v>44</v>
      </c>
      <c r="O20" s="86" t="s">
        <v>46</v>
      </c>
      <c r="P20" s="86" t="s">
        <v>43</v>
      </c>
      <c r="Q20" s="87" t="s">
        <v>45</v>
      </c>
      <c r="R20" s="1"/>
      <c r="S20" s="1"/>
    </row>
    <row r="21" spans="1:20" x14ac:dyDescent="0.25">
      <c r="A21" s="2"/>
      <c r="B21" s="185" t="str">
        <f>IF($N$1="DEUTSCH","Dielen","Boards")</f>
        <v>Dielen</v>
      </c>
      <c r="C21" s="186"/>
      <c r="D21" s="88">
        <f>Normal_V2_Classic!F40</f>
        <v>173</v>
      </c>
      <c r="E21" s="88">
        <f>Normal_V2_Pro!F40</f>
        <v>125</v>
      </c>
      <c r="F21" s="88">
        <f>IF(OR(H5=4,H5=6),Normal_V2_Style!F40, "n.a.")</f>
        <v>143</v>
      </c>
      <c r="G21" s="88">
        <f>IF(OR(H5=4,H5=6),Normal_V2_CORO!F40,"n.a.")</f>
        <v>173</v>
      </c>
      <c r="H21" s="94" t="str">
        <f>IF($N$1="DEUTSCH","Stück","pcs")</f>
        <v>Stück</v>
      </c>
      <c r="I21" s="173">
        <v>1</v>
      </c>
      <c r="J21" s="145">
        <v>1</v>
      </c>
      <c r="K21" s="145">
        <v>1</v>
      </c>
      <c r="L21" s="174">
        <v>1</v>
      </c>
      <c r="M21" s="94" t="str">
        <f>IF($N$1="Deutsch","CHF / lfm","CHF / rnm")</f>
        <v>CHF / lfm</v>
      </c>
      <c r="N21" s="125">
        <f>D21*I21*$H$5</f>
        <v>692</v>
      </c>
      <c r="O21" s="125">
        <f t="shared" ref="O21" si="0">E21*J21*$H$5</f>
        <v>500</v>
      </c>
      <c r="P21" s="125">
        <f>IF(OR(H5=4,H5=6),F21*K21*$H$5,"n.a.")</f>
        <v>572</v>
      </c>
      <c r="Q21" s="161">
        <f>IF(OR(H5=4,H5=6),G21*L21*$H$5,"n.a.")</f>
        <v>692</v>
      </c>
      <c r="R21" s="1"/>
      <c r="S21" s="1"/>
    </row>
    <row r="22" spans="1:20" ht="15.75" thickBot="1" x14ac:dyDescent="0.3">
      <c r="A22" s="2"/>
      <c r="B22" s="98" t="str">
        <f>IF($N$1="DEUTSCH","Unterkonstruktion","Substructure")</f>
        <v>Unterkonstruktion</v>
      </c>
      <c r="C22" s="103"/>
      <c r="D22" s="107">
        <f>IF(H13="",Normal_V2_Classic!$E$8,Normal_V2_Classic!$E$8+(ROUNDUP(H7*2/Normal_V2_Classic!G2,0)))</f>
        <v>58</v>
      </c>
      <c r="E22" s="107">
        <f>IF(H13="",Normal_V2_Pro!$E$8,Normal_V2_Pro!$E$8+(ROUNDUP(H7*2/Normal_V2_Pro!G2,0)))</f>
        <v>58</v>
      </c>
      <c r="F22" s="107">
        <f>IF(H13="",Normal_V2_Style!$E$8,Normal_V2_Style!$E$8+(ROUNDUP(H7*2/Normal_V2_Style!G2,0)))</f>
        <v>68</v>
      </c>
      <c r="G22" s="107">
        <f>IF(H13="",Normal_V2_CORO!$E$8,Normal_V2_CORO!$E$8+(ROUNDUP(H7*2/Normal_V2_CORO!G2,0)))</f>
        <v>68</v>
      </c>
      <c r="H22" s="109" t="str">
        <f>IF($N$1="DEUTSCH","Stück","pcs")</f>
        <v>Stück</v>
      </c>
      <c r="I22" s="175">
        <v>1</v>
      </c>
      <c r="J22" s="150">
        <v>1</v>
      </c>
      <c r="K22" s="150">
        <v>1</v>
      </c>
      <c r="L22" s="176">
        <v>1</v>
      </c>
      <c r="M22" s="109" t="str">
        <f>IF($N$1="Deutsch","CHF / lfm","CHF / rnm")</f>
        <v>CHF / lfm</v>
      </c>
      <c r="N22" s="134">
        <f>D22*I22*4</f>
        <v>232</v>
      </c>
      <c r="O22" s="134">
        <f t="shared" ref="O22:Q22" si="1">E22*J22*4</f>
        <v>232</v>
      </c>
      <c r="P22" s="134">
        <f t="shared" si="1"/>
        <v>272</v>
      </c>
      <c r="Q22" s="162">
        <f t="shared" si="1"/>
        <v>272</v>
      </c>
      <c r="R22" s="1"/>
      <c r="S22" s="1"/>
    </row>
    <row r="23" spans="1:20" x14ac:dyDescent="0.25">
      <c r="A23" s="2"/>
      <c r="B23" s="99" t="str">
        <f>IF($N$1="DEUTSCH","Mittelklammer","Centre Bracket")</f>
        <v>Mittelklammer</v>
      </c>
      <c r="C23" s="104"/>
      <c r="D23" s="88">
        <f>Normal_V2_Classic!$E$11</f>
        <v>16</v>
      </c>
      <c r="E23" s="88">
        <f>Normal_V2_Pro!$E$11</f>
        <v>12</v>
      </c>
      <c r="F23" s="88">
        <f>IF(H10="Alu",Normal_V2_Style!$E$10,Normal_V2_Style!$E$11)</f>
        <v>16</v>
      </c>
      <c r="G23" s="88">
        <f>IF(H10="Alu",Normal_V2_CORO!$E$10,Normal_V2_CORO!$E$11)</f>
        <v>19</v>
      </c>
      <c r="H23" s="110" t="str">
        <f>IF($N$1="DEUTSCH","Packungen","pckg")</f>
        <v>Packungen</v>
      </c>
      <c r="I23" s="173">
        <v>1</v>
      </c>
      <c r="J23" s="145">
        <v>1</v>
      </c>
      <c r="K23" s="145">
        <v>1</v>
      </c>
      <c r="L23" s="174">
        <v>1</v>
      </c>
      <c r="M23" s="110" t="str">
        <f>IF($N$1="Deutsch","CHF / Packung","CHF/pckg")</f>
        <v>CHF / Packung</v>
      </c>
      <c r="N23" s="125">
        <f t="shared" ref="N23:N31" si="2">D23*I23</f>
        <v>16</v>
      </c>
      <c r="O23" s="125">
        <f t="shared" ref="O23:O31" si="3">E23*J23</f>
        <v>12</v>
      </c>
      <c r="P23" s="125">
        <f t="shared" ref="P23:P31" si="4">F23*K23</f>
        <v>16</v>
      </c>
      <c r="Q23" s="161">
        <f t="shared" ref="Q23:Q31" si="5">G23*L23</f>
        <v>19</v>
      </c>
      <c r="R23" s="1"/>
      <c r="S23" s="1"/>
    </row>
    <row r="24" spans="1:20" x14ac:dyDescent="0.25">
      <c r="A24" s="2"/>
      <c r="B24" s="189" t="str">
        <f>IF(H10="WPC","",IF(N1="DEUTSCH","Schnellverlege-Clip","Quick-Installation Clip"))</f>
        <v/>
      </c>
      <c r="C24" s="190"/>
      <c r="D24" s="89"/>
      <c r="E24" s="89"/>
      <c r="F24" s="89" t="str">
        <f>IF(H10="Alu",Normal_V2_Style!$E$11,"0")</f>
        <v>0</v>
      </c>
      <c r="G24" s="89" t="str">
        <f>IF(H10="Alu",Normal_V2_CORO!$E$11,"0")</f>
        <v>0</v>
      </c>
      <c r="H24" s="97" t="str">
        <f>IF(H10="Alu",IF(N1="Deutsch","Packungen","pckg"),"")</f>
        <v/>
      </c>
      <c r="I24" s="177">
        <v>1</v>
      </c>
      <c r="J24" s="151">
        <v>1</v>
      </c>
      <c r="K24" s="151">
        <v>1</v>
      </c>
      <c r="L24" s="178">
        <v>1</v>
      </c>
      <c r="M24" s="97" t="str">
        <f>IF($H$10="Alu",IF($N$1="Deutsch","€ / Packung","€/pckg"),"")</f>
        <v/>
      </c>
      <c r="N24" s="129">
        <f t="shared" si="2"/>
        <v>0</v>
      </c>
      <c r="O24" s="129">
        <f t="shared" si="3"/>
        <v>0</v>
      </c>
      <c r="P24" s="129">
        <f t="shared" si="4"/>
        <v>0</v>
      </c>
      <c r="Q24" s="163">
        <f t="shared" si="5"/>
        <v>0</v>
      </c>
      <c r="R24" s="1"/>
      <c r="S24" s="1"/>
    </row>
    <row r="25" spans="1:20" ht="15.75" thickBot="1" x14ac:dyDescent="0.3">
      <c r="A25" s="2"/>
      <c r="B25" s="101" t="str">
        <f>IF($N$1="DEUTSCH","Endklammer","End Bracket")</f>
        <v>Endklammer</v>
      </c>
      <c r="C25" s="105"/>
      <c r="D25" s="107">
        <f>Normal_V2_Classic!$E$9</f>
        <v>2</v>
      </c>
      <c r="E25" s="107">
        <f>Normal_V2_Pro!E9</f>
        <v>2</v>
      </c>
      <c r="F25" s="107">
        <f>Normal_V2_Style!$E$9</f>
        <v>3</v>
      </c>
      <c r="G25" s="107">
        <f>Normal_V2_CORO!$E$9</f>
        <v>3</v>
      </c>
      <c r="H25" s="111" t="str">
        <f>IF($N$1="DEUTSCH","Packungen","pckg")</f>
        <v>Packungen</v>
      </c>
      <c r="I25" s="175">
        <v>1</v>
      </c>
      <c r="J25" s="150">
        <v>1</v>
      </c>
      <c r="K25" s="150">
        <v>1</v>
      </c>
      <c r="L25" s="176">
        <v>1</v>
      </c>
      <c r="M25" s="111" t="str">
        <f>IF($N$1="Deutsch","CHF / Packung","CHF/pckg")</f>
        <v>CHF / Packung</v>
      </c>
      <c r="N25" s="134">
        <f t="shared" si="2"/>
        <v>2</v>
      </c>
      <c r="O25" s="134">
        <f t="shared" si="3"/>
        <v>2</v>
      </c>
      <c r="P25" s="134">
        <f t="shared" si="4"/>
        <v>3</v>
      </c>
      <c r="Q25" s="162">
        <f t="shared" si="5"/>
        <v>3</v>
      </c>
      <c r="R25" s="1"/>
      <c r="S25" s="1"/>
    </row>
    <row r="26" spans="1:20" x14ac:dyDescent="0.25">
      <c r="A26" s="2"/>
      <c r="B26" s="185" t="str">
        <f>IF($N$1="DEUTSCH","Montagewinkel WPC","Fixing Bracket WPC")</f>
        <v>Montagewinkel WPC</v>
      </c>
      <c r="C26" s="186"/>
      <c r="D26" s="88">
        <f>IF(H13="X",Normal_V2_Classic!E18,IF(OR(H12="50-90 Justierfuß",H12="30-50 Justierfuß",H12="50-90 Pedestal",H12="30-50 Pedestal"),"0",Normal_V2_Classic!E14))</f>
        <v>4</v>
      </c>
      <c r="E26" s="88">
        <f>IF(H13="X",Normal_V2_Pro!E18,IF(OR(H12="50-90 Justierfuß",H12="30-50 Justierfuß",H12="50-90 Pedestal",H12="30-50 Pedestal"),"0",Normal_V2_Pro!E14))</f>
        <v>4</v>
      </c>
      <c r="F26" s="88">
        <f>IF(OR(H12="50-90 Justierfuß",H12="30-50 Justierfuß",H12="50-90 Pedestal",H12="30-50 Pedestal"),"0",IF(H10="WPC",IF($H$13="X",Normal_V2_Style!E19,Normal_V2_Style!E14),"0"))</f>
        <v>4</v>
      </c>
      <c r="G26" s="88">
        <f>IF(OR(H12="50-90 Justierfuß",H12="30-50 Justierfuß",H12="50-90 Pedestal",H12="30-50 Pedestal"),"0",IF(H10="WPC",IF($H$13="X",Normal_V2_CORO!E19,Normal_V2_CORO!E14),"0"))</f>
        <v>4</v>
      </c>
      <c r="H26" s="112" t="str">
        <f>IF(N1="Deutsch","Packungen","pckg")</f>
        <v>Packungen</v>
      </c>
      <c r="I26" s="173">
        <v>1</v>
      </c>
      <c r="J26" s="145">
        <v>1</v>
      </c>
      <c r="K26" s="145">
        <v>1</v>
      </c>
      <c r="L26" s="174">
        <v>1</v>
      </c>
      <c r="M26" s="112" t="str">
        <f>IF($N$1="Deutsch","CHF / Packung","CHF/pckg")</f>
        <v>CHF / Packung</v>
      </c>
      <c r="N26" s="125">
        <f t="shared" si="2"/>
        <v>4</v>
      </c>
      <c r="O26" s="125">
        <f t="shared" si="3"/>
        <v>4</v>
      </c>
      <c r="P26" s="125">
        <f t="shared" si="4"/>
        <v>4</v>
      </c>
      <c r="Q26" s="161">
        <f t="shared" si="5"/>
        <v>4</v>
      </c>
      <c r="R26" s="1"/>
      <c r="S26" s="1"/>
    </row>
    <row r="27" spans="1:20" x14ac:dyDescent="0.25">
      <c r="A27" s="2"/>
      <c r="B27" s="92" t="str">
        <f>IF($N$1="DEUTSCH","Verbindungsplatte WPC","Joining Plate WPC")</f>
        <v>Verbindungsplatte WPC</v>
      </c>
      <c r="C27" s="93"/>
      <c r="D27" s="89">
        <f>IF($H$13="X",Normal_V2_Classic!E19,Normal_V2_Classic!E15)</f>
        <v>2</v>
      </c>
      <c r="E27" s="89">
        <f>IF($H$13="X",Normal_V2_Pro!E19,Normal_V2_Pro!E15)</f>
        <v>2</v>
      </c>
      <c r="F27" s="89">
        <f>IF(H10="WPC",IF($H$13="X",Normal_V2_Style!E20,Normal_V2_Style!E15),"0")</f>
        <v>2</v>
      </c>
      <c r="G27" s="89">
        <f>IF(H10="WPC",IF($H$13="X",Normal_V2_CORO!E20,Normal_V2_CORO!E15),"0")</f>
        <v>2</v>
      </c>
      <c r="H27" s="113" t="str">
        <f>IF(N1="Deutsch","Packungen","pckg")</f>
        <v>Packungen</v>
      </c>
      <c r="I27" s="177">
        <v>1</v>
      </c>
      <c r="J27" s="151">
        <v>1</v>
      </c>
      <c r="K27" s="151">
        <v>1</v>
      </c>
      <c r="L27" s="178">
        <v>1</v>
      </c>
      <c r="M27" s="113" t="str">
        <f>IF($N$1="Deutsch","CHF / Packung","CHF/pckg")</f>
        <v>CHF / Packung</v>
      </c>
      <c r="N27" s="129">
        <f t="shared" si="2"/>
        <v>2</v>
      </c>
      <c r="O27" s="129">
        <f t="shared" si="3"/>
        <v>2</v>
      </c>
      <c r="P27" s="129">
        <f t="shared" si="4"/>
        <v>2</v>
      </c>
      <c r="Q27" s="163">
        <f t="shared" si="5"/>
        <v>2</v>
      </c>
      <c r="R27" s="1"/>
      <c r="S27" s="1"/>
    </row>
    <row r="28" spans="1:20" ht="15.75" thickBot="1" x14ac:dyDescent="0.3">
      <c r="A28" s="2"/>
      <c r="B28" s="191" t="str">
        <f>IF(H10="WPC","",IF(AND(N1="DEUTSCH",H13=""),"Befestigungsset  Alu-UK 21x30",IF(AND(N1="DEUTSCH",H13="X"),"Rahmenbauset  Alu-UK 21x30",IF(AND(N1="ENGLISH",H13=""),"Fixing set substr Alu 21x30",IF(AND(N1="ENGLISH",H13="X"),"Frame construction set Alu 21x30","k.A.")))))</f>
        <v/>
      </c>
      <c r="C28" s="192"/>
      <c r="D28" s="107"/>
      <c r="E28" s="107"/>
      <c r="F28" s="107">
        <f>IF(H10="Alu",IF($H$13="X",Normal_V2_Style!E21,IF(OR(H12="50-90 Justierfuß",H12="30-50 Justierfuß",H12="50-90 Pedestal",H12="30-50 Pedestal"),Normal_V2_Style!E17,Normal_V2_Style!E16)),0)</f>
        <v>0</v>
      </c>
      <c r="G28" s="107">
        <f>IF(H10="Alu",IF($H$13="X",Normal_V2_CORO!E21,IF(OR(H12="50-90 Justierfuß",H12="30-50 Justierfuß",H12="50-90 Pedestal",H12="30-50 Pedestal"),Normal_V2_CORO!E17,Normal_V2_CORO!E16)),0)</f>
        <v>0</v>
      </c>
      <c r="H28" s="114" t="str">
        <f>IF(H10="Alu",IF(N1="Deutsch","Packungen","pckg"),"")</f>
        <v/>
      </c>
      <c r="I28" s="175">
        <v>1</v>
      </c>
      <c r="J28" s="150">
        <v>1</v>
      </c>
      <c r="K28" s="150">
        <v>1</v>
      </c>
      <c r="L28" s="176">
        <v>1</v>
      </c>
      <c r="M28" s="114" t="str">
        <f>IF($H$10="Alu",IF($N$1="Deutsch","€ / Packung","€/pckg"),"")</f>
        <v/>
      </c>
      <c r="N28" s="134">
        <f t="shared" si="2"/>
        <v>0</v>
      </c>
      <c r="O28" s="134">
        <f t="shared" si="3"/>
        <v>0</v>
      </c>
      <c r="P28" s="134">
        <f t="shared" si="4"/>
        <v>0</v>
      </c>
      <c r="Q28" s="162">
        <f t="shared" si="5"/>
        <v>0</v>
      </c>
      <c r="R28" s="1"/>
      <c r="S28" s="1"/>
    </row>
    <row r="29" spans="1:20" ht="15.75" thickBot="1" x14ac:dyDescent="0.3">
      <c r="A29" s="2"/>
      <c r="B29" s="102" t="str">
        <f>IF($N$1="DEUTSCH","Endkappe","End Cap")</f>
        <v>Endkappe</v>
      </c>
      <c r="C29" s="106"/>
      <c r="D29" s="108">
        <f>Normal_V2_Classic!$E$13</f>
        <v>6</v>
      </c>
      <c r="E29" s="108">
        <f>Normal_V2_Pro!$E$13</f>
        <v>4</v>
      </c>
      <c r="F29" s="108">
        <f>Normal_V2_Style!$E$13</f>
        <v>5</v>
      </c>
      <c r="G29" s="108" t="s">
        <v>50</v>
      </c>
      <c r="H29" s="115" t="str">
        <f>IF($N$1="DEUTSCH","Packungen","pckg")</f>
        <v>Packungen</v>
      </c>
      <c r="I29" s="179">
        <v>1</v>
      </c>
      <c r="J29" s="180">
        <v>1</v>
      </c>
      <c r="K29" s="180">
        <v>1</v>
      </c>
      <c r="L29" s="181" t="s">
        <v>50</v>
      </c>
      <c r="M29" s="115" t="str">
        <f>IF($N$1="Deutsch","CHF / Packung","CHF/pckg")</f>
        <v>CHF / Packung</v>
      </c>
      <c r="N29" s="164">
        <f>D29*I29</f>
        <v>6</v>
      </c>
      <c r="O29" s="164">
        <f>E29*J29</f>
        <v>4</v>
      </c>
      <c r="P29" s="164">
        <f>F29*K29</f>
        <v>5</v>
      </c>
      <c r="Q29" s="165" t="s">
        <v>50</v>
      </c>
      <c r="R29" s="1"/>
      <c r="S29" s="1"/>
    </row>
    <row r="30" spans="1:20" x14ac:dyDescent="0.25">
      <c r="A30" s="2"/>
      <c r="B30" s="185" t="str">
        <f>IF(H12="NO","",IF(H12="KEIN","",H12))</f>
        <v/>
      </c>
      <c r="C30" s="186"/>
      <c r="D30" s="88" t="str">
        <f>IF(OR(H12="KEIN",H12="NO"),"0",IF(H13="",Normal_V2_Classic!$E$12,Normal_V2_Classic!F12))</f>
        <v>0</v>
      </c>
      <c r="E30" s="88" t="str">
        <f>IF(OR(H12="KEIN",H12="NO"),"0",IF(H13="",Normal_V2_Pro!$E$12,Normal_V2_Pro!F12))</f>
        <v>0</v>
      </c>
      <c r="F30" s="88" t="str">
        <f>IF(OR(H12="KEIN",H12="NO"),"0",IF(H13="",Normal_V2_Style!$E$12,Normal_V2_Style!F12))</f>
        <v>0</v>
      </c>
      <c r="G30" s="88" t="str">
        <f>IF(OR(H12="KEIN",H12="NO"),"0",IF(H13="",Normal_V2_CORO!$E$12,Normal_V2_CORO!F12))</f>
        <v>0</v>
      </c>
      <c r="H30" s="112" t="str">
        <f>IF($H$12="NO","",IF($H$12="KEIN","",IF($N$1="DEUTSCH","Packungen","pckg")))</f>
        <v/>
      </c>
      <c r="I30" s="173">
        <v>1</v>
      </c>
      <c r="J30" s="145">
        <v>1</v>
      </c>
      <c r="K30" s="145">
        <v>1</v>
      </c>
      <c r="L30" s="174">
        <v>1</v>
      </c>
      <c r="M30" s="112" t="str">
        <f>IF($H$12="NO","",IF($H$12="KEIN","",IF($N$1="DEUTSCH","€ / Packung","€/pckg")))</f>
        <v/>
      </c>
      <c r="N30" s="125">
        <f>D30*I30</f>
        <v>0</v>
      </c>
      <c r="O30" s="125">
        <f t="shared" ref="O30:Q30" si="6">E30*J30</f>
        <v>0</v>
      </c>
      <c r="P30" s="125">
        <f t="shared" si="6"/>
        <v>0</v>
      </c>
      <c r="Q30" s="161">
        <f t="shared" si="6"/>
        <v>0</v>
      </c>
      <c r="R30" s="1"/>
      <c r="S30" s="1"/>
    </row>
    <row r="31" spans="1:20" ht="15.75" thickBot="1" x14ac:dyDescent="0.3">
      <c r="A31" s="2"/>
      <c r="B31" s="187" t="str">
        <f>IF(OR(H12="Gummi pads",H12="Rubber pads",H12="Kein",H12="No"),"",IF(N1="DEUTSCH","Justierfußschrauben","Pedestal Screws"))</f>
        <v/>
      </c>
      <c r="C31" s="188"/>
      <c r="D31" s="90" t="str">
        <f>IF(OR(H12="30-50 Justierfuß",H12="50-90 Justierfuß",H12="30-50 Pedestal",H12="50-90 Pedestal"),IF(H13="X",Normal_V2_Classic!E21,Normal_V2_Classic!E17),"0")</f>
        <v>0</v>
      </c>
      <c r="E31" s="90" t="str">
        <f>IF(OR(H12="30-50 Justierfuß",H12="50-90 Justierfuß",H12="30-50 Pedestal",H12="50-90 Pedestal"),IF(H13="X",Normal_V2_Pro!E21,Normal_V2_Pro!E17),"0")</f>
        <v>0</v>
      </c>
      <c r="F31" s="90" t="str">
        <f>IF(OR(H12="30-50 Justierfuß",H12="50-90 Justierfuß",H12="30-50 Pedestal",H12="50-90 Pedestal"),IF(H13="X",Normal_V2_Style!E22,Normal_V2_Style!E18),"0")</f>
        <v>0</v>
      </c>
      <c r="G31" s="90" t="str">
        <f>IF(OR(H12="30-50 Justierfuß",H12="50-90 Justierfuß",H12="30-50 Pedestal",H12="50-90 Pedestal"),IF(H13="X",Normal_V2_CORO!E22,Normal_V2_CORO!E18),"0")</f>
        <v>0</v>
      </c>
      <c r="H31" s="116" t="str">
        <f>IF(OR(H12="30-50 Justierfuß",H12="50-90 Justierfuß",H12="30-50 Pedestal",H12="50-90 Pedestal"),IF(N1="Deutsch","Packungen","pckg"),"")</f>
        <v/>
      </c>
      <c r="I31" s="182">
        <v>1</v>
      </c>
      <c r="J31" s="146">
        <v>1</v>
      </c>
      <c r="K31" s="146">
        <v>1</v>
      </c>
      <c r="L31" s="183">
        <v>1</v>
      </c>
      <c r="M31" s="116" t="str">
        <f>IF(OR(H12="30-50 Justierfuß",H12="50-90 Justierfuß",H12="30-50 Pedestal",H12="50-90 Pedestal"),IF(N1="Deutsch","€ / Packung","€ /pckg"),"")</f>
        <v/>
      </c>
      <c r="N31" s="126">
        <f t="shared" si="2"/>
        <v>0</v>
      </c>
      <c r="O31" s="126">
        <f t="shared" si="3"/>
        <v>0</v>
      </c>
      <c r="P31" s="126">
        <f t="shared" si="4"/>
        <v>0</v>
      </c>
      <c r="Q31" s="166">
        <f t="shared" si="5"/>
        <v>0</v>
      </c>
      <c r="R31" s="1"/>
      <c r="S31" s="1"/>
    </row>
    <row r="32" spans="1:20" x14ac:dyDescent="0.25">
      <c r="A32" s="2"/>
      <c r="B32" s="1"/>
      <c r="C32" s="1"/>
      <c r="D32" s="1"/>
      <c r="E32" s="1"/>
      <c r="F32" s="1"/>
      <c r="G32" s="1"/>
      <c r="H32" s="1"/>
      <c r="I32" s="1"/>
      <c r="J32" s="1"/>
      <c r="K32" s="1"/>
      <c r="L32" s="1"/>
      <c r="M32" s="1"/>
      <c r="N32" s="167">
        <f>SUM(N21:N31)</f>
        <v>954</v>
      </c>
      <c r="O32" s="168">
        <f t="shared" ref="O32:Q32" si="7">SUM(O21:O31)</f>
        <v>756</v>
      </c>
      <c r="P32" s="168">
        <f t="shared" si="7"/>
        <v>874</v>
      </c>
      <c r="Q32" s="169">
        <f t="shared" si="7"/>
        <v>992</v>
      </c>
      <c r="R32" s="4" t="s">
        <v>51</v>
      </c>
      <c r="S32" s="42"/>
    </row>
    <row r="33" spans="1:20" ht="15.75" thickBot="1" x14ac:dyDescent="0.3">
      <c r="A33" s="2"/>
      <c r="B33" s="1"/>
      <c r="C33" s="1"/>
      <c r="D33" s="1"/>
      <c r="E33" s="1"/>
      <c r="F33" s="1"/>
      <c r="G33" s="1"/>
      <c r="H33" s="1"/>
      <c r="I33" s="1"/>
      <c r="J33" s="1"/>
      <c r="K33" s="1"/>
      <c r="L33" s="1"/>
      <c r="M33" s="1"/>
      <c r="N33" s="170">
        <f>N32/($H$7*$H$8)</f>
        <v>9.5399999999999991</v>
      </c>
      <c r="O33" s="171">
        <f t="shared" ref="O33:Q33" si="8">O32/($H$7*$H$8)</f>
        <v>7.56</v>
      </c>
      <c r="P33" s="171">
        <f t="shared" si="8"/>
        <v>8.74</v>
      </c>
      <c r="Q33" s="172">
        <f t="shared" si="8"/>
        <v>9.92</v>
      </c>
      <c r="R33" s="1" t="s">
        <v>52</v>
      </c>
      <c r="S33" s="1"/>
    </row>
    <row r="34" spans="1:20" x14ac:dyDescent="0.25">
      <c r="A34" s="2"/>
      <c r="B34" s="1"/>
      <c r="C34" s="1"/>
      <c r="D34" s="1"/>
      <c r="E34" s="1"/>
      <c r="F34" s="1"/>
      <c r="G34" s="1"/>
      <c r="H34" s="1"/>
      <c r="I34" s="1"/>
      <c r="J34" s="1"/>
      <c r="K34" s="1"/>
      <c r="L34" s="1"/>
      <c r="M34" s="1"/>
      <c r="N34" s="1"/>
      <c r="O34" s="1"/>
      <c r="P34" s="1"/>
      <c r="Q34" s="1"/>
      <c r="R34" s="1"/>
      <c r="S34" s="1"/>
      <c r="T34" s="1"/>
    </row>
    <row r="35" spans="1:20" x14ac:dyDescent="0.25">
      <c r="A35" s="2"/>
      <c r="B35" s="1"/>
      <c r="C35" s="1"/>
      <c r="D35" s="1"/>
      <c r="E35" s="1"/>
      <c r="F35" s="1"/>
      <c r="G35" s="1"/>
      <c r="H35" s="1"/>
      <c r="I35" s="1"/>
      <c r="J35" s="1"/>
      <c r="K35" s="1"/>
      <c r="L35" s="1"/>
      <c r="M35" s="1"/>
      <c r="N35" s="1"/>
      <c r="O35" s="1"/>
      <c r="P35" s="1"/>
      <c r="Q35" s="1"/>
      <c r="R35" s="1"/>
      <c r="S35" s="1"/>
      <c r="T35" s="1"/>
    </row>
    <row r="36" spans="1:20" ht="409.5" customHeight="1" x14ac:dyDescent="0.25">
      <c r="A36" s="2"/>
      <c r="B36" s="1"/>
      <c r="C36" s="1"/>
      <c r="D36" s="1"/>
      <c r="E36" s="1"/>
      <c r="F36" s="1"/>
      <c r="G36" s="1"/>
      <c r="H36" s="1"/>
      <c r="I36" s="1"/>
      <c r="J36" s="1"/>
      <c r="K36" s="1"/>
      <c r="L36" s="1"/>
      <c r="M36" s="1"/>
      <c r="N36" s="1"/>
      <c r="O36" s="1"/>
      <c r="P36" s="1"/>
      <c r="Q36" s="1"/>
      <c r="R36" s="1"/>
      <c r="S36" s="1"/>
      <c r="T36" s="1"/>
    </row>
    <row r="37" spans="1:20" ht="13.5" customHeight="1" x14ac:dyDescent="0.25">
      <c r="A37" s="56"/>
      <c r="B37" s="42"/>
      <c r="C37" s="42"/>
      <c r="D37" s="42"/>
      <c r="E37" s="42"/>
      <c r="F37" s="42"/>
      <c r="G37" s="42"/>
      <c r="H37" s="42"/>
      <c r="I37" s="42"/>
      <c r="J37" s="42"/>
      <c r="K37" s="42"/>
      <c r="L37" s="42"/>
      <c r="M37" s="42"/>
      <c r="N37" s="42"/>
      <c r="O37" s="42"/>
      <c r="P37" s="42"/>
      <c r="Q37" s="42"/>
      <c r="R37" s="42"/>
      <c r="S37" s="42"/>
      <c r="T37" s="42"/>
    </row>
    <row r="38" spans="1:20" x14ac:dyDescent="0.25">
      <c r="A38" s="56"/>
      <c r="B38" s="42"/>
      <c r="C38" s="42"/>
      <c r="D38" s="42"/>
      <c r="E38" s="42"/>
      <c r="F38" s="42"/>
      <c r="G38" s="42"/>
      <c r="H38" s="42"/>
      <c r="I38" s="42"/>
      <c r="J38" s="42"/>
      <c r="K38" s="42"/>
      <c r="L38" s="42"/>
      <c r="M38" s="42"/>
      <c r="N38" s="42"/>
      <c r="O38" s="42"/>
      <c r="P38" s="42"/>
      <c r="Q38" s="42"/>
      <c r="R38" s="42"/>
      <c r="S38" s="42"/>
      <c r="T38" s="42"/>
    </row>
    <row r="39" spans="1:20" x14ac:dyDescent="0.25">
      <c r="A39" s="56"/>
      <c r="B39" s="42"/>
      <c r="C39" s="42"/>
      <c r="D39" s="42"/>
      <c r="E39" s="42"/>
      <c r="F39" s="42"/>
      <c r="G39" s="42"/>
      <c r="H39" s="42"/>
      <c r="I39" s="42"/>
      <c r="J39" s="42"/>
      <c r="K39" s="42"/>
      <c r="L39" s="42"/>
      <c r="M39" s="42"/>
      <c r="N39" s="42"/>
      <c r="O39" s="42"/>
      <c r="P39" s="42"/>
      <c r="Q39" s="42"/>
      <c r="R39" s="42"/>
      <c r="S39" s="42"/>
      <c r="T39" s="42"/>
    </row>
    <row r="40" spans="1:20" x14ac:dyDescent="0.25">
      <c r="A40" s="56"/>
      <c r="B40" s="42"/>
      <c r="C40" s="42"/>
      <c r="D40" s="42"/>
      <c r="E40" s="42"/>
      <c r="F40" s="42"/>
      <c r="G40" s="42"/>
      <c r="H40" s="42"/>
      <c r="I40" s="42"/>
      <c r="J40" s="42"/>
      <c r="K40" s="42"/>
      <c r="L40" s="42"/>
      <c r="M40" s="42"/>
      <c r="N40" s="42"/>
      <c r="O40" s="42"/>
      <c r="P40" s="42"/>
      <c r="Q40" s="42"/>
      <c r="R40" s="42"/>
      <c r="S40" s="42"/>
      <c r="T40" s="42"/>
    </row>
    <row r="41" spans="1:20" x14ac:dyDescent="0.25">
      <c r="A41" s="56"/>
      <c r="B41" s="42"/>
      <c r="C41" s="42"/>
      <c r="D41" s="42"/>
      <c r="E41" s="42"/>
      <c r="F41" s="42"/>
      <c r="G41" s="42"/>
      <c r="H41" s="42"/>
      <c r="I41" s="42"/>
      <c r="J41" s="42"/>
      <c r="K41" s="42"/>
      <c r="L41" s="42"/>
      <c r="M41" s="42"/>
      <c r="N41" s="42"/>
      <c r="O41" s="42"/>
      <c r="P41" s="42"/>
      <c r="Q41" s="42"/>
      <c r="R41" s="42"/>
      <c r="S41" s="42"/>
      <c r="T41" s="42"/>
    </row>
    <row r="42" spans="1:20" x14ac:dyDescent="0.25">
      <c r="A42" s="56"/>
      <c r="B42" s="42"/>
      <c r="C42" s="42"/>
      <c r="D42" s="42"/>
      <c r="E42" s="42"/>
      <c r="F42" s="42"/>
      <c r="G42" s="42"/>
      <c r="H42" s="42"/>
      <c r="I42" s="42"/>
      <c r="J42" s="42"/>
      <c r="K42" s="42"/>
      <c r="L42" s="42"/>
      <c r="M42" s="42"/>
      <c r="N42" s="42"/>
      <c r="O42" s="42"/>
      <c r="P42" s="42"/>
      <c r="Q42" s="42"/>
      <c r="R42" s="42"/>
      <c r="S42" s="42"/>
      <c r="T42" s="42"/>
    </row>
    <row r="43" spans="1:20" x14ac:dyDescent="0.25">
      <c r="A43" s="56"/>
      <c r="B43" s="42"/>
      <c r="C43" s="42"/>
      <c r="D43" s="42"/>
      <c r="E43" s="42"/>
      <c r="F43" s="42"/>
      <c r="G43" s="42"/>
      <c r="H43" s="42"/>
      <c r="I43" s="42"/>
      <c r="J43" s="42"/>
      <c r="K43" s="42"/>
      <c r="L43" s="42"/>
      <c r="M43" s="42"/>
      <c r="N43" s="42"/>
      <c r="O43" s="42"/>
      <c r="P43" s="42"/>
      <c r="Q43" s="42"/>
      <c r="R43" s="42"/>
      <c r="S43" s="42"/>
      <c r="T43" s="42"/>
    </row>
    <row r="44" spans="1:20" x14ac:dyDescent="0.25">
      <c r="A44" s="56"/>
      <c r="B44" s="42"/>
      <c r="C44" s="42"/>
      <c r="D44" s="42"/>
      <c r="E44" s="42"/>
      <c r="F44" s="42"/>
      <c r="G44" s="42"/>
      <c r="H44" s="42"/>
      <c r="I44" s="42"/>
      <c r="J44" s="42"/>
      <c r="K44" s="42"/>
      <c r="L44" s="42"/>
      <c r="M44" s="42"/>
      <c r="N44" s="42"/>
      <c r="O44" s="42"/>
      <c r="P44" s="42"/>
      <c r="Q44" s="42"/>
      <c r="R44" s="42"/>
      <c r="S44" s="42"/>
      <c r="T44" s="42"/>
    </row>
    <row r="45" spans="1:20" x14ac:dyDescent="0.25">
      <c r="A45" s="56"/>
      <c r="B45" s="42"/>
      <c r="C45" s="42"/>
      <c r="D45" s="42"/>
      <c r="E45" s="42"/>
      <c r="F45" s="42"/>
      <c r="G45" s="42"/>
      <c r="H45" s="42"/>
      <c r="I45" s="42"/>
      <c r="J45" s="42"/>
      <c r="K45" s="42"/>
      <c r="L45" s="42"/>
      <c r="M45" s="42"/>
      <c r="N45" s="42"/>
      <c r="O45" s="42"/>
      <c r="P45" s="42"/>
      <c r="Q45" s="42"/>
      <c r="R45" s="42"/>
      <c r="S45" s="42"/>
      <c r="T45" s="42"/>
    </row>
    <row r="46" spans="1:20" x14ac:dyDescent="0.25">
      <c r="A46" s="56"/>
      <c r="B46" s="42"/>
      <c r="C46" s="42"/>
      <c r="D46" s="42"/>
      <c r="E46" s="42"/>
      <c r="F46" s="42"/>
      <c r="G46" s="42"/>
      <c r="H46" s="42"/>
      <c r="I46" s="42"/>
      <c r="J46" s="42"/>
      <c r="K46" s="42"/>
      <c r="L46" s="42"/>
      <c r="M46" s="42"/>
      <c r="N46" s="42"/>
      <c r="O46" s="42"/>
      <c r="P46" s="42"/>
      <c r="Q46" s="42"/>
      <c r="R46" s="42"/>
      <c r="S46" s="42"/>
      <c r="T46" s="42"/>
    </row>
    <row r="47" spans="1:20" x14ac:dyDescent="0.25">
      <c r="A47" s="56"/>
      <c r="B47" s="42"/>
      <c r="C47" s="42"/>
      <c r="D47" s="42"/>
      <c r="E47" s="42"/>
      <c r="F47" s="42"/>
      <c r="G47" s="42"/>
      <c r="H47" s="42"/>
      <c r="I47" s="42"/>
      <c r="J47" s="42"/>
      <c r="K47" s="42"/>
      <c r="L47" s="42"/>
      <c r="M47" s="42"/>
      <c r="N47" s="42"/>
      <c r="O47" s="42"/>
      <c r="P47" s="42"/>
      <c r="Q47" s="42"/>
      <c r="R47" s="42"/>
      <c r="S47" s="42"/>
      <c r="T47" s="42"/>
    </row>
    <row r="48" spans="1:20" x14ac:dyDescent="0.25">
      <c r="A48" s="56"/>
      <c r="B48" s="42"/>
      <c r="C48" s="42"/>
      <c r="D48" s="42"/>
      <c r="E48" s="42"/>
      <c r="F48" s="42"/>
      <c r="G48" s="42"/>
      <c r="H48" s="42"/>
      <c r="I48" s="42"/>
      <c r="J48" s="42"/>
      <c r="K48" s="42"/>
      <c r="L48" s="42"/>
      <c r="M48" s="42"/>
      <c r="N48" s="42"/>
      <c r="O48" s="42"/>
      <c r="P48" s="42"/>
      <c r="Q48" s="42"/>
      <c r="R48" s="42"/>
      <c r="S48" s="42"/>
      <c r="T48" s="42"/>
    </row>
    <row r="49" spans="1:20" x14ac:dyDescent="0.25">
      <c r="A49" s="56"/>
      <c r="B49" s="42"/>
      <c r="C49" s="42"/>
      <c r="D49" s="42"/>
      <c r="E49" s="42"/>
      <c r="F49" s="42"/>
      <c r="G49" s="42"/>
      <c r="H49" s="42"/>
      <c r="I49" s="42"/>
      <c r="J49" s="42"/>
      <c r="K49" s="42"/>
      <c r="L49" s="42"/>
      <c r="M49" s="42"/>
      <c r="N49" s="42"/>
      <c r="O49" s="42"/>
      <c r="P49" s="42"/>
      <c r="Q49" s="42"/>
      <c r="R49" s="42"/>
      <c r="S49" s="42"/>
      <c r="T49" s="42"/>
    </row>
    <row r="50" spans="1:20" x14ac:dyDescent="0.25">
      <c r="A50" s="56"/>
      <c r="B50" s="42"/>
      <c r="C50" s="42"/>
      <c r="D50" s="42"/>
      <c r="E50" s="42"/>
      <c r="F50" s="42"/>
      <c r="G50" s="42"/>
      <c r="H50" s="42"/>
      <c r="I50" s="42"/>
      <c r="J50" s="42"/>
      <c r="K50" s="42"/>
      <c r="L50" s="42"/>
      <c r="M50" s="42"/>
      <c r="N50" s="42"/>
      <c r="O50" s="42"/>
      <c r="P50" s="42"/>
      <c r="Q50" s="42"/>
      <c r="R50" s="42"/>
      <c r="S50" s="42"/>
      <c r="T50" s="42"/>
    </row>
    <row r="51" spans="1:20" x14ac:dyDescent="0.25">
      <c r="A51" s="56"/>
      <c r="B51" s="42"/>
      <c r="C51" s="42"/>
      <c r="D51" s="42"/>
      <c r="E51" s="42"/>
      <c r="F51" s="42"/>
      <c r="G51" s="42"/>
      <c r="H51" s="42"/>
      <c r="I51" s="42"/>
      <c r="J51" s="42"/>
      <c r="K51" s="42"/>
      <c r="L51" s="42"/>
      <c r="M51" s="42"/>
      <c r="N51" s="42"/>
      <c r="O51" s="42"/>
      <c r="P51" s="42"/>
      <c r="Q51" s="42"/>
      <c r="R51" s="42"/>
      <c r="S51" s="42"/>
      <c r="T51" s="42"/>
    </row>
    <row r="52" spans="1:20" x14ac:dyDescent="0.25">
      <c r="A52" s="56"/>
      <c r="B52" s="42"/>
      <c r="C52" s="42"/>
      <c r="D52" s="42"/>
      <c r="E52" s="42"/>
      <c r="F52" s="42"/>
      <c r="G52" s="42"/>
      <c r="H52" s="42"/>
      <c r="I52" s="42"/>
      <c r="J52" s="42"/>
      <c r="K52" s="42"/>
      <c r="L52" s="42"/>
      <c r="M52" s="42"/>
      <c r="N52" s="42"/>
      <c r="O52" s="42"/>
      <c r="P52" s="42"/>
      <c r="Q52" s="42"/>
      <c r="R52" s="42"/>
      <c r="S52" s="42"/>
      <c r="T52" s="42"/>
    </row>
    <row r="53" spans="1:20" x14ac:dyDescent="0.25">
      <c r="A53" s="56"/>
      <c r="B53" s="42"/>
      <c r="C53" s="42"/>
      <c r="D53" s="42"/>
      <c r="E53" s="42"/>
      <c r="F53" s="42"/>
      <c r="G53" s="42"/>
      <c r="H53" s="42"/>
      <c r="I53" s="42"/>
      <c r="J53" s="42"/>
      <c r="K53" s="42"/>
      <c r="L53" s="42"/>
      <c r="M53" s="42"/>
      <c r="N53" s="42"/>
      <c r="O53" s="42"/>
      <c r="P53" s="42"/>
      <c r="Q53" s="42"/>
      <c r="R53" s="42"/>
      <c r="S53" s="42"/>
      <c r="T53" s="42"/>
    </row>
    <row r="54" spans="1:20" x14ac:dyDescent="0.25">
      <c r="A54" s="56"/>
      <c r="B54" s="42"/>
      <c r="C54" s="42"/>
      <c r="D54" s="42"/>
      <c r="E54" s="42"/>
      <c r="F54" s="42"/>
      <c r="G54" s="42"/>
      <c r="H54" s="42"/>
      <c r="I54" s="42"/>
      <c r="J54" s="42"/>
      <c r="K54" s="42"/>
      <c r="L54" s="42"/>
      <c r="M54" s="42"/>
      <c r="N54" s="42"/>
      <c r="O54" s="42"/>
      <c r="P54" s="42"/>
      <c r="Q54" s="42"/>
      <c r="R54" s="42"/>
      <c r="S54" s="42"/>
      <c r="T54" s="42"/>
    </row>
    <row r="55" spans="1:20" x14ac:dyDescent="0.25">
      <c r="A55" s="56"/>
      <c r="B55" s="42"/>
      <c r="C55" s="42"/>
      <c r="D55" s="42"/>
      <c r="E55" s="42"/>
      <c r="F55" s="42"/>
      <c r="G55" s="42"/>
      <c r="H55" s="42"/>
      <c r="I55" s="42"/>
      <c r="J55" s="42"/>
      <c r="K55" s="42"/>
      <c r="L55" s="42"/>
      <c r="M55" s="42"/>
      <c r="N55" s="42"/>
      <c r="O55" s="42"/>
      <c r="P55" s="42"/>
      <c r="Q55" s="42"/>
      <c r="R55" s="42"/>
      <c r="S55" s="42"/>
      <c r="T55" s="42"/>
    </row>
    <row r="56" spans="1:20" ht="36.75" customHeight="1" thickBot="1" x14ac:dyDescent="0.3">
      <c r="A56" s="57" t="str">
        <f>IF(N1="Deutsch","*Hinweis: Bei identischen Angaben können geringfügige Ergebnisunterschiede zwischen 1#Kalkulator und 2#Umrechner auftreten.","*Information: Minor differences between 1#Calculator and 2#Converter can occure.")</f>
        <v>*Hinweis: Bei identischen Angaben können geringfügige Ergebnisunterschiede zwischen 1#Kalkulator und 2#Umrechner auftreten.</v>
      </c>
      <c r="B56" s="53"/>
      <c r="C56" s="53"/>
      <c r="D56" s="53"/>
      <c r="E56" s="53"/>
      <c r="F56" s="53"/>
      <c r="G56" s="53"/>
      <c r="H56" s="53"/>
      <c r="I56" s="53"/>
      <c r="J56" s="53"/>
      <c r="K56" s="53"/>
      <c r="L56" s="53"/>
      <c r="M56" s="53"/>
      <c r="N56" s="53"/>
      <c r="O56" s="53"/>
      <c r="P56" s="53"/>
      <c r="Q56" s="53"/>
      <c r="R56" s="53"/>
      <c r="S56" s="53"/>
      <c r="T56" s="53"/>
    </row>
  </sheetData>
  <sheetProtection password="CCE5" sheet="1" objects="1" scenarios="1"/>
  <dataConsolidate/>
  <mergeCells count="11">
    <mergeCell ref="B21:C21"/>
    <mergeCell ref="D19:G19"/>
    <mergeCell ref="I19:K19"/>
    <mergeCell ref="N19:O19"/>
    <mergeCell ref="I7:I8"/>
    <mergeCell ref="J7:L8"/>
    <mergeCell ref="B30:C30"/>
    <mergeCell ref="B31:C31"/>
    <mergeCell ref="B24:C24"/>
    <mergeCell ref="B26:C26"/>
    <mergeCell ref="B28:C28"/>
  </mergeCells>
  <dataValidations count="5">
    <dataValidation type="list" allowBlank="1" showInputMessage="1" showErrorMessage="1" sqref="H13">
      <formula1>$V$8:$V$9</formula1>
    </dataValidation>
    <dataValidation type="list" allowBlank="1" showInputMessage="1" showErrorMessage="1" sqref="H12">
      <formula1>$V$3:$V$6</formula1>
    </dataValidation>
    <dataValidation type="list" allowBlank="1" showInputMessage="1" showErrorMessage="1" sqref="H10">
      <formula1>"ALU, WPC"</formula1>
    </dataValidation>
    <dataValidation type="list" allowBlank="1" showInputMessage="1" showErrorMessage="1" sqref="H5">
      <formula1>"4,5,6"</formula1>
    </dataValidation>
    <dataValidation type="list" allowBlank="1" showInputMessage="1" showErrorMessage="1" sqref="N1">
      <formula1>"DEUTSCH, ENGLISH"</formula1>
    </dataValidation>
  </dataValidations>
  <printOptions horizontalCentered="1"/>
  <pageMargins left="0.39370078740157483" right="0.11811023622047245" top="0.59055118110236227" bottom="0.78740157480314965" header="0.31496062992125984" footer="0.31496062992125984"/>
  <pageSetup paperSize="9" scale="42" orientation="portrait" verticalDpi="598" r:id="rId1"/>
  <headerFooter>
    <oddHeader>&amp;CRELAZZO&amp;R&amp;D</oddHeader>
  </headerFooter>
  <ignoredErrors>
    <ignoredError sqref="M24 M28 H24" formula="1"/>
  </ignoredErrors>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P24"/>
  <sheetViews>
    <sheetView zoomScale="80" zoomScaleNormal="80" workbookViewId="0">
      <selection activeCell="H1" sqref="H1"/>
    </sheetView>
  </sheetViews>
  <sheetFormatPr baseColWidth="10" defaultRowHeight="15" x14ac:dyDescent="0.25"/>
  <cols>
    <col min="2" max="2" width="32" customWidth="1"/>
    <col min="4" max="4" width="14.140625" customWidth="1"/>
    <col min="5" max="5" width="14.7109375" customWidth="1"/>
    <col min="6" max="6" width="14" customWidth="1"/>
    <col min="7" max="7" width="13.7109375" customWidth="1"/>
    <col min="9" max="9" width="11" customWidth="1"/>
    <col min="11" max="11" width="11.5703125" customWidth="1"/>
    <col min="15" max="15" width="21.28515625" customWidth="1"/>
    <col min="16" max="16" width="19.85546875" customWidth="1"/>
  </cols>
  <sheetData>
    <row r="1" spans="1:16" ht="49.5" customHeight="1" thickBot="1" x14ac:dyDescent="0.3">
      <c r="A1" s="58" t="str">
        <f>IF(H1="DEUTSCH","       2: UMRECHNER: CLASSIC ","       2: CONVERTER: CLASSIC ")</f>
        <v xml:space="preserve">       2: UMRECHNER: CLASSIC </v>
      </c>
      <c r="B1" s="59"/>
      <c r="C1" s="60"/>
      <c r="D1" s="60"/>
      <c r="E1" s="60"/>
      <c r="F1" s="60"/>
      <c r="G1" s="60"/>
      <c r="H1" s="130" t="s">
        <v>41</v>
      </c>
      <c r="I1" s="60"/>
      <c r="J1" s="60"/>
      <c r="K1" s="60"/>
      <c r="L1" s="60"/>
      <c r="M1" s="60"/>
      <c r="N1" s="60"/>
      <c r="O1" s="39" t="str">
        <f>IF(H1="ENGLISH","User Input","Benutzereingaben")</f>
        <v>Benutzereingaben</v>
      </c>
      <c r="P1" s="55" t="str">
        <f>IF(H1="ENGLISH","Calculation","Berechnung")</f>
        <v>Berechnung</v>
      </c>
    </row>
    <row r="2" spans="1:16" x14ac:dyDescent="0.25">
      <c r="A2" s="50"/>
      <c r="B2" s="49"/>
      <c r="C2" s="49"/>
      <c r="D2" s="49"/>
      <c r="E2" s="49"/>
      <c r="F2" s="49"/>
      <c r="G2" s="49"/>
      <c r="H2" s="49"/>
      <c r="I2" s="49"/>
      <c r="J2" s="49"/>
      <c r="K2" s="49"/>
      <c r="L2" s="51"/>
      <c r="M2" s="51"/>
      <c r="N2" s="51"/>
      <c r="O2" s="51"/>
      <c r="P2" s="52"/>
    </row>
    <row r="3" spans="1:16" ht="15.75" thickBot="1" x14ac:dyDescent="0.3">
      <c r="A3" s="2"/>
      <c r="B3" s="1"/>
      <c r="C3" s="1"/>
      <c r="D3" s="1"/>
      <c r="E3" s="1"/>
      <c r="F3" s="1"/>
      <c r="G3" s="1"/>
      <c r="H3" s="1"/>
      <c r="I3" s="1"/>
      <c r="J3" s="1"/>
      <c r="K3" s="1"/>
      <c r="L3" s="42"/>
      <c r="M3" s="42"/>
      <c r="N3" s="42"/>
      <c r="O3" s="42"/>
      <c r="P3" s="43"/>
    </row>
    <row r="4" spans="1:16" ht="63.75" customHeight="1" thickBot="1" x14ac:dyDescent="0.3">
      <c r="A4" s="2"/>
      <c r="B4" s="1"/>
      <c r="C4" s="124" t="str">
        <f>IF(H1="DEUTSCH","GESAMT
CLASSIC","TOTAL
CLASSIC")</f>
        <v>GESAMT
CLASSIC</v>
      </c>
      <c r="D4" s="152" t="str">
        <f>IF(H1="DEUTSCH","GESAMT
NATURO, FINELLO
ALU UK","TOTAL
NATURO, FINELLO
ALU UK")</f>
        <v>GESAMT
NATURO, FINELLO
ALU UK</v>
      </c>
      <c r="E4" s="40" t="str">
        <f>IF(H1="DEUTSCH","GESAMT
NATURO, FINELLO
WPC UK","TOTAL
NATURO, FINELLO
WPC UK")</f>
        <v>GESAMT
NATURO, FINELLO
WPC UK</v>
      </c>
      <c r="F4" s="124" t="str">
        <f>IF(H1="DEUTSCH","GESAMT
CORO, CALMO
ALU UK","TOTAL
CORO, CALMO
ALU UK")</f>
        <v>GESAMT
CORO, CALMO
ALU UK</v>
      </c>
      <c r="G4" s="159" t="str">
        <f>IF(H1="DEUTSCH","GESAMT
CORO, CALMO
WPC UK","TOTAL
CORO, CALMO
WPC UK")</f>
        <v>GESAMT
CORO, CALMO
WPC UK</v>
      </c>
      <c r="H4" s="1"/>
      <c r="I4" s="1"/>
      <c r="J4" s="1"/>
      <c r="K4" s="1"/>
      <c r="L4" s="42"/>
      <c r="M4" s="42"/>
      <c r="N4" s="42"/>
      <c r="O4" s="42"/>
      <c r="P4" s="43"/>
    </row>
    <row r="5" spans="1:16" x14ac:dyDescent="0.25">
      <c r="A5" s="2"/>
      <c r="B5" s="136" t="s">
        <v>29</v>
      </c>
      <c r="C5" s="145">
        <v>1</v>
      </c>
      <c r="D5" s="153">
        <f>ROUNDUP($C5/(177/147),0)</f>
        <v>1</v>
      </c>
      <c r="E5" s="125">
        <f>ROUNDUP($C5/(177/147),0)</f>
        <v>1</v>
      </c>
      <c r="F5" s="125">
        <f>ROUNDUP(C5,0)</f>
        <v>1</v>
      </c>
      <c r="G5" s="153">
        <f>ROUNDUP(C5,0)</f>
        <v>1</v>
      </c>
      <c r="H5" s="118" t="str">
        <f>IF(H1="DEUTSCH","Stück","pcs")</f>
        <v>Stück</v>
      </c>
      <c r="I5" s="1"/>
      <c r="J5" s="1"/>
      <c r="K5" s="1"/>
      <c r="L5" s="42"/>
      <c r="M5" s="42"/>
      <c r="N5" s="42"/>
      <c r="O5" s="42"/>
      <c r="P5" s="43"/>
    </row>
    <row r="6" spans="1:16" ht="15.75" thickBot="1" x14ac:dyDescent="0.3">
      <c r="A6" s="2"/>
      <c r="B6" s="137" t="s">
        <v>30</v>
      </c>
      <c r="C6" s="146">
        <v>1</v>
      </c>
      <c r="D6" s="154">
        <f>ROUNDUP($C6/(177/147),0)</f>
        <v>1</v>
      </c>
      <c r="E6" s="126">
        <f>ROUNDUP($C6/(177/147),0)</f>
        <v>1</v>
      </c>
      <c r="F6" s="126">
        <f>ROUNDUP(C6,0)</f>
        <v>1</v>
      </c>
      <c r="G6" s="154">
        <f>ROUNDUP(C6,0)</f>
        <v>1</v>
      </c>
      <c r="H6" s="120" t="str">
        <f>IF(H1="DEUTSCH","Stück","pcs")</f>
        <v>Stück</v>
      </c>
      <c r="I6" s="1"/>
      <c r="J6" s="1"/>
      <c r="K6" s="1"/>
      <c r="L6" s="42"/>
      <c r="M6" s="42"/>
      <c r="N6" s="42"/>
      <c r="O6" s="42"/>
      <c r="P6" s="43"/>
    </row>
    <row r="7" spans="1:16" ht="15.75" thickBot="1" x14ac:dyDescent="0.3">
      <c r="A7" s="2"/>
      <c r="B7" s="138" t="str">
        <f>IF(H1="DEUTSCH","UK","Subconstruction")</f>
        <v>UK</v>
      </c>
      <c r="C7" s="147">
        <v>1</v>
      </c>
      <c r="D7" s="155">
        <f>ROUNDUP($C7*1.17,0)</f>
        <v>2</v>
      </c>
      <c r="E7" s="127">
        <f t="shared" ref="E7:G7" si="0">ROUNDUP($C7*1.17,0)</f>
        <v>2</v>
      </c>
      <c r="F7" s="127">
        <f t="shared" si="0"/>
        <v>2</v>
      </c>
      <c r="G7" s="155">
        <f t="shared" si="0"/>
        <v>2</v>
      </c>
      <c r="H7" s="100" t="str">
        <f>IF(H1="DEUTSCH","Stück","pcs")</f>
        <v>Stück</v>
      </c>
      <c r="I7" s="1"/>
      <c r="J7" s="1"/>
      <c r="K7" s="1"/>
      <c r="L7" s="42"/>
      <c r="M7" s="42"/>
      <c r="N7" s="42"/>
      <c r="O7" s="42"/>
      <c r="P7" s="43"/>
    </row>
    <row r="8" spans="1:16" ht="15.75" thickBot="1" x14ac:dyDescent="0.3">
      <c r="A8" s="2"/>
      <c r="B8" s="139" t="str">
        <f>IF(H1="DEUTSCH","Justierfuß 50-90","Pedestal 50-90")</f>
        <v>Justierfuß 50-90</v>
      </c>
      <c r="C8" s="147">
        <v>1</v>
      </c>
      <c r="D8" s="155">
        <f>ROUNDUP($C$8*1.17,0)</f>
        <v>2</v>
      </c>
      <c r="E8" s="127">
        <f t="shared" ref="E8:G8" si="1">ROUNDUP($C$8*1.17,0)</f>
        <v>2</v>
      </c>
      <c r="F8" s="127">
        <f t="shared" si="1"/>
        <v>2</v>
      </c>
      <c r="G8" s="155">
        <f t="shared" si="1"/>
        <v>2</v>
      </c>
      <c r="H8" s="121" t="str">
        <f>IF(H1="DEUTSCH","Pckg","pckg")</f>
        <v>Pckg</v>
      </c>
      <c r="I8" s="1"/>
      <c r="J8" s="1"/>
      <c r="K8" s="1"/>
      <c r="L8" s="42"/>
      <c r="M8" s="42"/>
      <c r="N8" s="42"/>
      <c r="O8" s="42"/>
      <c r="P8" s="43"/>
    </row>
    <row r="9" spans="1:16" x14ac:dyDescent="0.25">
      <c r="A9" s="2"/>
      <c r="B9" s="140" t="str">
        <f>IF(H1="DEUTSCH","Mittelklammer","Center Bracket")</f>
        <v>Mittelklammer</v>
      </c>
      <c r="C9" s="148">
        <v>1</v>
      </c>
      <c r="D9" s="156">
        <f>ROUNDUP(D10*0.378,0)</f>
        <v>1</v>
      </c>
      <c r="E9" s="128">
        <f>ROUNDUP(C9*0.97,0)</f>
        <v>1</v>
      </c>
      <c r="F9" s="128">
        <f>D9</f>
        <v>1</v>
      </c>
      <c r="G9" s="156">
        <f>ROUNDUP(C9*1.17,0)</f>
        <v>2</v>
      </c>
      <c r="H9" s="95" t="str">
        <f>IF(H1="DEUTSCH","Pckg","pckg")</f>
        <v>Pckg</v>
      </c>
      <c r="I9" s="1"/>
      <c r="J9" s="1"/>
      <c r="K9" s="1"/>
      <c r="L9" s="42"/>
      <c r="M9" s="42"/>
      <c r="N9" s="42"/>
      <c r="O9" s="42"/>
      <c r="P9" s="43"/>
    </row>
    <row r="10" spans="1:16" x14ac:dyDescent="0.25">
      <c r="A10" s="2"/>
      <c r="B10" s="141" t="str">
        <f>IF(H1="DEUTSCH","Schnellverlegeclip","Quick Installation Clip")</f>
        <v>Schnellverlegeclip</v>
      </c>
      <c r="C10" s="149"/>
      <c r="D10" s="157">
        <f>ROUNDUP(C9/1.13,0)</f>
        <v>1</v>
      </c>
      <c r="E10" s="129"/>
      <c r="F10" s="129">
        <f>ROUNDUP(C9*1.082,0)</f>
        <v>2</v>
      </c>
      <c r="G10" s="157"/>
      <c r="H10" s="119" t="str">
        <f>IF(H1="DEUTSCH","Pckg","pckg")</f>
        <v>Pckg</v>
      </c>
      <c r="I10" s="1"/>
      <c r="J10" s="1"/>
      <c r="K10" s="1"/>
      <c r="L10" s="42"/>
      <c r="M10" s="42"/>
      <c r="N10" s="42"/>
      <c r="O10" s="42"/>
      <c r="P10" s="43"/>
    </row>
    <row r="11" spans="1:16" ht="15.75" thickBot="1" x14ac:dyDescent="0.3">
      <c r="A11" s="2"/>
      <c r="B11" s="142" t="str">
        <f>IF(H1="DEUTSCH","Endklammer","End Bracket")</f>
        <v>Endklammer</v>
      </c>
      <c r="C11" s="150">
        <v>1</v>
      </c>
      <c r="D11" s="158">
        <f>ROUNDUP($C11*1.2,0)</f>
        <v>2</v>
      </c>
      <c r="E11" s="134">
        <f t="shared" ref="E11:G11" si="2">ROUNDUP($C11*1.2,0)</f>
        <v>2</v>
      </c>
      <c r="F11" s="134">
        <f t="shared" si="2"/>
        <v>2</v>
      </c>
      <c r="G11" s="158">
        <f t="shared" si="2"/>
        <v>2</v>
      </c>
      <c r="H11" s="133" t="str">
        <f>IF(H1="DEUTSCH","Pckg","pckg")</f>
        <v>Pckg</v>
      </c>
      <c r="I11" s="1"/>
      <c r="J11" s="1"/>
      <c r="K11" s="1"/>
      <c r="L11" s="42"/>
      <c r="M11" s="42"/>
      <c r="N11" s="42"/>
      <c r="O11" s="42"/>
      <c r="P11" s="43"/>
    </row>
    <row r="12" spans="1:16" x14ac:dyDescent="0.25">
      <c r="A12" s="2"/>
      <c r="B12" s="132" t="str">
        <f>IF($H$1="DEUTSCH","Montagewinkel WPC","Fixing Bracket WPC")</f>
        <v>Montagewinkel WPC</v>
      </c>
      <c r="C12" s="145">
        <v>1</v>
      </c>
      <c r="D12" s="125"/>
      <c r="E12" s="125">
        <f>$C$12</f>
        <v>1</v>
      </c>
      <c r="F12" s="125"/>
      <c r="G12" s="125">
        <f>$C$12</f>
        <v>1</v>
      </c>
      <c r="H12" s="135" t="str">
        <f>IF(H1="DEUTSCH","Pckg","pckg")</f>
        <v>Pckg</v>
      </c>
      <c r="I12" s="1"/>
      <c r="J12" s="1"/>
      <c r="K12" s="1"/>
      <c r="L12" s="42"/>
      <c r="M12" s="42"/>
      <c r="N12" s="42"/>
      <c r="O12" s="42"/>
      <c r="P12" s="43"/>
    </row>
    <row r="13" spans="1:16" x14ac:dyDescent="0.25">
      <c r="A13" s="2"/>
      <c r="B13" s="143" t="str">
        <f>IF($H$1="DEUTSCH","Verbindungsplatte WPC","Joining Plate WPC")</f>
        <v>Verbindungsplatte WPC</v>
      </c>
      <c r="C13" s="151">
        <v>1</v>
      </c>
      <c r="D13" s="157"/>
      <c r="E13" s="129">
        <f>ROUNDUP(C13*1.17,0)</f>
        <v>2</v>
      </c>
      <c r="F13" s="129"/>
      <c r="G13" s="157">
        <f>ROUNDUP(C13*1.17,0)</f>
        <v>2</v>
      </c>
      <c r="H13" s="119" t="str">
        <f>IF(H1="DEUTSCH","Pckg","pckg")</f>
        <v>Pckg</v>
      </c>
      <c r="I13" s="1"/>
      <c r="J13" s="1"/>
      <c r="K13" s="1"/>
      <c r="L13" s="42"/>
      <c r="M13" s="42"/>
      <c r="N13" s="42"/>
      <c r="O13" s="42"/>
      <c r="P13" s="43"/>
    </row>
    <row r="14" spans="1:16" ht="15.75" thickBot="1" x14ac:dyDescent="0.3">
      <c r="A14" s="2"/>
      <c r="B14" s="144" t="str">
        <f>IF(H1="DEUTSCH","Befestigungsset  Alu-UK 21x30","Fixing set substr Alu 21x30")</f>
        <v>Befestigungsset  Alu-UK 21x30</v>
      </c>
      <c r="C14" s="160"/>
      <c r="D14" s="154">
        <f>ROUNDUP((C12+C13)*1.4,0)</f>
        <v>3</v>
      </c>
      <c r="E14" s="126"/>
      <c r="F14" s="126">
        <f>ROUNDUP((C12+C13)*1.4,0)</f>
        <v>3</v>
      </c>
      <c r="G14" s="154"/>
      <c r="H14" s="96" t="str">
        <f>IF(H1="DEUTSCH","Pckg","pckg")</f>
        <v>Pckg</v>
      </c>
      <c r="I14" s="1"/>
      <c r="J14" s="1"/>
      <c r="K14" s="1"/>
      <c r="L14" s="42"/>
      <c r="M14" s="42"/>
      <c r="N14" s="42"/>
      <c r="O14" s="42"/>
      <c r="P14" s="43"/>
    </row>
    <row r="15" spans="1:16" x14ac:dyDescent="0.25">
      <c r="A15" s="2"/>
      <c r="B15" s="1"/>
      <c r="C15" s="1"/>
      <c r="D15" s="1"/>
      <c r="E15" s="1"/>
      <c r="F15" s="1"/>
      <c r="G15" s="1"/>
      <c r="H15" s="1"/>
      <c r="I15" s="1"/>
      <c r="J15" s="1"/>
      <c r="K15" s="1"/>
      <c r="L15" s="42"/>
      <c r="M15" s="42"/>
      <c r="N15" s="42"/>
      <c r="O15" s="42"/>
      <c r="P15" s="43"/>
    </row>
    <row r="16" spans="1:16" x14ac:dyDescent="0.25">
      <c r="A16" s="2"/>
      <c r="B16" s="1"/>
      <c r="C16" s="1"/>
      <c r="D16" s="1"/>
      <c r="E16" s="1"/>
      <c r="F16" s="1"/>
      <c r="G16" s="1"/>
      <c r="H16" s="1"/>
      <c r="I16" s="1"/>
      <c r="J16" s="1"/>
      <c r="K16" s="1"/>
      <c r="L16" s="42"/>
      <c r="M16" s="42"/>
      <c r="N16" s="42"/>
      <c r="O16" s="42"/>
      <c r="P16" s="43"/>
    </row>
    <row r="17" spans="1:16" x14ac:dyDescent="0.25">
      <c r="A17" s="2"/>
      <c r="B17" s="1"/>
      <c r="C17" s="41" t="str">
        <f>IF(H1="DEUTSCH","Eingabe laut:","Input according:")</f>
        <v>Eingabe laut:</v>
      </c>
      <c r="D17" s="41"/>
      <c r="E17" s="41"/>
      <c r="F17" s="41"/>
      <c r="G17" s="1"/>
      <c r="H17" s="1"/>
      <c r="I17" s="1"/>
      <c r="J17" s="1"/>
      <c r="K17" s="1"/>
      <c r="L17" s="42"/>
      <c r="M17" s="42"/>
      <c r="N17" s="42"/>
      <c r="O17" s="42"/>
      <c r="P17" s="43"/>
    </row>
    <row r="18" spans="1:16" x14ac:dyDescent="0.25">
      <c r="A18" s="2"/>
      <c r="B18" s="1"/>
      <c r="C18" s="131" t="s">
        <v>40</v>
      </c>
      <c r="D18" s="41"/>
      <c r="E18" s="41"/>
      <c r="F18" s="41"/>
      <c r="G18" s="1"/>
      <c r="H18" s="1"/>
      <c r="I18" s="1"/>
      <c r="J18" s="1"/>
      <c r="K18" s="1"/>
      <c r="L18" s="42"/>
      <c r="M18" s="42"/>
      <c r="N18" s="42"/>
      <c r="O18" s="42"/>
      <c r="P18" s="43"/>
    </row>
    <row r="19" spans="1:16" x14ac:dyDescent="0.25">
      <c r="A19" s="2"/>
      <c r="B19" s="1"/>
      <c r="C19" s="131" t="s">
        <v>39</v>
      </c>
      <c r="D19" s="41"/>
      <c r="E19" s="41"/>
      <c r="F19" s="41"/>
      <c r="G19" s="1"/>
      <c r="H19" s="1"/>
      <c r="I19" s="1"/>
      <c r="J19" s="1"/>
      <c r="K19" s="1"/>
      <c r="L19" s="42"/>
      <c r="M19" s="42"/>
      <c r="N19" s="42"/>
      <c r="O19" s="42"/>
      <c r="P19" s="43"/>
    </row>
    <row r="20" spans="1:16" x14ac:dyDescent="0.25">
      <c r="A20" s="2"/>
      <c r="B20" s="1"/>
      <c r="C20" s="1"/>
      <c r="D20" s="1"/>
      <c r="E20" s="1"/>
      <c r="F20" s="1"/>
      <c r="G20" s="1"/>
      <c r="H20" s="1"/>
      <c r="I20" s="1"/>
      <c r="J20" s="1"/>
      <c r="K20" s="1"/>
      <c r="L20" s="42"/>
      <c r="M20" s="42"/>
      <c r="N20" s="42"/>
      <c r="O20" s="42"/>
      <c r="P20" s="43"/>
    </row>
    <row r="21" spans="1:16" x14ac:dyDescent="0.25">
      <c r="A21" s="2"/>
      <c r="B21" s="1"/>
      <c r="C21" s="1"/>
      <c r="D21" s="1"/>
      <c r="E21" s="1"/>
      <c r="F21" s="1"/>
      <c r="G21" s="1"/>
      <c r="H21" s="1"/>
      <c r="I21" s="1"/>
      <c r="J21" s="1"/>
      <c r="K21" s="1"/>
      <c r="L21" s="42"/>
      <c r="M21" s="42"/>
      <c r="N21" s="42"/>
      <c r="O21" s="42"/>
      <c r="P21" s="43"/>
    </row>
    <row r="22" spans="1:16" ht="298.5" customHeight="1" x14ac:dyDescent="0.25">
      <c r="A22" s="2"/>
      <c r="B22" s="1"/>
      <c r="C22" s="1"/>
      <c r="D22" s="1"/>
      <c r="E22" s="1"/>
      <c r="F22" s="1"/>
      <c r="G22" s="1"/>
      <c r="H22" s="1"/>
      <c r="I22" s="1"/>
      <c r="J22" s="1"/>
      <c r="K22" s="1"/>
      <c r="L22" s="42"/>
      <c r="M22" s="42"/>
      <c r="N22" s="42"/>
      <c r="O22" s="42"/>
      <c r="P22" s="43"/>
    </row>
    <row r="23" spans="1:16" ht="73.5" customHeight="1" x14ac:dyDescent="0.25">
      <c r="A23" s="2"/>
      <c r="B23" s="1"/>
      <c r="C23" s="1"/>
      <c r="D23" s="1"/>
      <c r="E23" s="1"/>
      <c r="F23" s="1"/>
      <c r="G23" s="1"/>
      <c r="H23" s="1"/>
      <c r="I23" s="1"/>
      <c r="J23" s="1"/>
      <c r="K23" s="1"/>
      <c r="L23" s="42"/>
      <c r="M23" s="42"/>
      <c r="N23" s="42"/>
      <c r="O23" s="42"/>
      <c r="P23" s="43"/>
    </row>
    <row r="24" spans="1:16" ht="321" customHeight="1" thickBot="1" x14ac:dyDescent="0.3">
      <c r="A24" s="5" t="str">
        <f>IF(H1="Deutsch","*Hinweis: Bei identischen Angaben können geringfügige Ergebnisunterschiede zwischen 1#Kalkulator und 2#Umrechner auftreten.","*Information: Minor differences between 1#Calculator and 2#Converter can occure.")</f>
        <v>*Hinweis: Bei identischen Angaben können geringfügige Ergebnisunterschiede zwischen 1#Kalkulator und 2#Umrechner auftreten.</v>
      </c>
      <c r="B24" s="3"/>
      <c r="C24" s="3"/>
      <c r="D24" s="3"/>
      <c r="E24" s="3"/>
      <c r="F24" s="3"/>
      <c r="G24" s="3"/>
      <c r="H24" s="3"/>
      <c r="I24" s="3"/>
      <c r="J24" s="3"/>
      <c r="K24" s="3"/>
      <c r="L24" s="53"/>
      <c r="M24" s="53"/>
      <c r="N24" s="53"/>
      <c r="O24" s="53"/>
      <c r="P24" s="54"/>
    </row>
  </sheetData>
  <sheetProtection password="CCE5" sheet="1" objects="1" scenarios="1"/>
  <dataValidations count="1">
    <dataValidation type="list" allowBlank="1" showInputMessage="1" showErrorMessage="1" sqref="H1">
      <formula1>"DEUTSCH, ENGLISH"</formula1>
    </dataValidation>
  </dataValidations>
  <hyperlinks>
    <hyperlink ref="C18" r:id="rId1"/>
    <hyperlink ref="C19" r:id="rId2"/>
  </hyperlinks>
  <pageMargins left="0.7" right="0.7" top="0.78740157499999996" bottom="0.78740157499999996" header="0.3" footer="0.3"/>
  <pageSetup paperSize="9" orientation="portrait" verticalDpi="598"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zoomScaleNormal="100" workbookViewId="0">
      <selection activeCell="G9" sqref="G9"/>
    </sheetView>
  </sheetViews>
  <sheetFormatPr baseColWidth="10" defaultRowHeight="15" x14ac:dyDescent="0.25"/>
  <cols>
    <col min="1" max="1" width="13.5703125" bestFit="1" customWidth="1"/>
    <col min="2" max="2" width="21.7109375" bestFit="1" customWidth="1"/>
    <col min="6" max="6" width="18.5703125" bestFit="1" customWidth="1"/>
    <col min="9" max="10" width="14.28515625" bestFit="1" customWidth="1"/>
  </cols>
  <sheetData>
    <row r="1" spans="1:14" x14ac:dyDescent="0.25">
      <c r="A1" s="6" t="s">
        <v>0</v>
      </c>
      <c r="B1" s="7" t="s">
        <v>3</v>
      </c>
      <c r="C1" s="8" t="s">
        <v>1</v>
      </c>
      <c r="D1" s="9">
        <v>0.19400000000000001</v>
      </c>
      <c r="E1" s="6"/>
      <c r="F1" s="8" t="s">
        <v>11</v>
      </c>
      <c r="G1" s="10">
        <v>6.4999999999999997E-3</v>
      </c>
      <c r="H1" s="6"/>
      <c r="I1" s="11" t="s">
        <v>8</v>
      </c>
      <c r="J1" s="11" t="s">
        <v>15</v>
      </c>
      <c r="K1" s="12">
        <v>25</v>
      </c>
      <c r="L1" s="6"/>
      <c r="M1" s="6"/>
      <c r="N1" s="6"/>
    </row>
    <row r="2" spans="1:14" ht="15.75" thickBot="1" x14ac:dyDescent="0.3">
      <c r="A2" s="6"/>
      <c r="B2" s="13"/>
      <c r="C2" s="14" t="s">
        <v>2</v>
      </c>
      <c r="D2" s="15">
        <f>'1#KALKULATOR-CALCULATOR_NEW'!H5</f>
        <v>4</v>
      </c>
      <c r="E2" s="6"/>
      <c r="F2" s="16" t="s">
        <v>22</v>
      </c>
      <c r="G2" s="17">
        <v>4</v>
      </c>
      <c r="H2" s="6"/>
      <c r="I2" s="11"/>
      <c r="J2" s="11" t="s">
        <v>19</v>
      </c>
      <c r="K2" s="12">
        <v>100</v>
      </c>
      <c r="L2" s="6"/>
      <c r="M2" s="6"/>
      <c r="N2" s="6"/>
    </row>
    <row r="3" spans="1:14" ht="16.5" customHeight="1" thickBot="1" x14ac:dyDescent="0.3">
      <c r="A3" s="6"/>
      <c r="B3" s="6"/>
      <c r="C3" s="6"/>
      <c r="D3" s="6"/>
      <c r="E3" s="6"/>
      <c r="F3" s="14" t="s">
        <v>14</v>
      </c>
      <c r="G3" s="18">
        <v>0.5</v>
      </c>
      <c r="H3" s="6"/>
      <c r="I3" s="11"/>
      <c r="J3" s="11" t="s">
        <v>10</v>
      </c>
      <c r="K3" s="12">
        <v>25</v>
      </c>
      <c r="L3" s="6"/>
      <c r="M3" s="6"/>
      <c r="N3" s="6"/>
    </row>
    <row r="4" spans="1:14" x14ac:dyDescent="0.25">
      <c r="A4" s="6"/>
      <c r="B4" s="19" t="s">
        <v>4</v>
      </c>
      <c r="C4" s="20" t="s">
        <v>1</v>
      </c>
      <c r="D4" s="9">
        <f>'1#KALKULATOR-CALCULATOR_NEW'!H7</f>
        <v>10</v>
      </c>
      <c r="E4" s="6"/>
      <c r="F4" s="6" t="s">
        <v>27</v>
      </c>
      <c r="G4" s="6">
        <v>0.36</v>
      </c>
      <c r="H4" s="6"/>
      <c r="I4" s="11"/>
      <c r="J4" s="11" t="s">
        <v>23</v>
      </c>
      <c r="K4" s="12">
        <v>100</v>
      </c>
      <c r="L4" s="6">
        <v>25</v>
      </c>
      <c r="M4" s="6">
        <v>20</v>
      </c>
      <c r="N4" s="6"/>
    </row>
    <row r="5" spans="1:14" ht="15.75" thickBot="1" x14ac:dyDescent="0.3">
      <c r="A5" s="6"/>
      <c r="B5" s="14"/>
      <c r="C5" s="21" t="s">
        <v>2</v>
      </c>
      <c r="D5" s="15">
        <f>'1#KALKULATOR-CALCULATOR_NEW'!H8</f>
        <v>10</v>
      </c>
      <c r="E5" s="6"/>
      <c r="F5" s="6"/>
      <c r="G5" s="6"/>
      <c r="H5" s="6"/>
      <c r="I5" s="11"/>
      <c r="J5" s="22" t="s">
        <v>16</v>
      </c>
      <c r="K5" s="12">
        <v>25</v>
      </c>
      <c r="L5" s="6"/>
      <c r="M5" s="6"/>
      <c r="N5" s="6"/>
    </row>
    <row r="6" spans="1:14" ht="15.75" thickBot="1" x14ac:dyDescent="0.3">
      <c r="A6" s="6"/>
      <c r="B6" s="23"/>
      <c r="C6" s="23"/>
      <c r="D6" s="24"/>
      <c r="E6" s="6"/>
      <c r="F6" s="6"/>
      <c r="G6" s="6"/>
      <c r="H6" s="6"/>
      <c r="I6" s="6"/>
      <c r="J6" s="22" t="s">
        <v>32</v>
      </c>
      <c r="K6" s="12">
        <v>20</v>
      </c>
      <c r="L6" s="6"/>
      <c r="M6" s="6"/>
      <c r="N6" s="6"/>
    </row>
    <row r="7" spans="1:14" x14ac:dyDescent="0.25">
      <c r="A7" s="6"/>
      <c r="B7" s="25" t="s">
        <v>17</v>
      </c>
      <c r="C7" s="26"/>
      <c r="D7" s="26"/>
      <c r="E7" s="27">
        <f>IF(D37&gt;0.54,E24*E28,(ROUNDUP(D26/D2*D28,0)))</f>
        <v>125</v>
      </c>
      <c r="F7" s="6" t="s">
        <v>6</v>
      </c>
      <c r="G7" s="6"/>
      <c r="H7" s="6"/>
      <c r="I7" s="6"/>
      <c r="J7" s="22" t="s">
        <v>34</v>
      </c>
      <c r="K7" s="12">
        <v>20</v>
      </c>
      <c r="L7" s="6">
        <f>51*4/0.36+28</f>
        <v>594.66666666666674</v>
      </c>
      <c r="M7" s="6">
        <f>L7/20</f>
        <v>29.733333333333338</v>
      </c>
      <c r="N7" s="6"/>
    </row>
    <row r="8" spans="1:14" x14ac:dyDescent="0.25">
      <c r="A8" s="6"/>
      <c r="B8" s="28" t="s">
        <v>18</v>
      </c>
      <c r="C8" s="29">
        <f>ROUNDUP((ROUNDUP((D5/D2),0)+(D5/G3))*D4,0)</f>
        <v>230</v>
      </c>
      <c r="D8" s="30" t="s">
        <v>5</v>
      </c>
      <c r="E8" s="31">
        <f>ROUNDUP(C8/G2,0)</f>
        <v>58</v>
      </c>
      <c r="F8" s="6" t="s">
        <v>6</v>
      </c>
      <c r="G8" s="6"/>
      <c r="H8" s="6"/>
      <c r="I8" s="6"/>
      <c r="J8" s="22" t="s">
        <v>33</v>
      </c>
      <c r="K8" s="12">
        <v>15</v>
      </c>
      <c r="L8" s="6"/>
      <c r="M8" s="6"/>
      <c r="N8" s="6"/>
    </row>
    <row r="9" spans="1:14" x14ac:dyDescent="0.25">
      <c r="A9" s="6"/>
      <c r="B9" s="28" t="s">
        <v>7</v>
      </c>
      <c r="C9" s="29">
        <f>E25*2</f>
        <v>46</v>
      </c>
      <c r="D9" s="29" t="s">
        <v>6</v>
      </c>
      <c r="E9" s="32">
        <f>ROUNDUP(C9/K1,0)</f>
        <v>2</v>
      </c>
      <c r="F9" s="6" t="s">
        <v>9</v>
      </c>
      <c r="G9" s="6"/>
      <c r="H9" s="6"/>
      <c r="I9" s="6"/>
      <c r="J9" s="46" t="s">
        <v>37</v>
      </c>
      <c r="K9" s="47">
        <v>20</v>
      </c>
      <c r="L9" s="6"/>
      <c r="M9" s="6"/>
      <c r="N9" s="6"/>
    </row>
    <row r="10" spans="1:14" x14ac:dyDescent="0.25">
      <c r="A10" s="6"/>
      <c r="B10" s="28" t="s">
        <v>25</v>
      </c>
      <c r="C10" s="29">
        <f>IF('1#KALKULATOR-CALCULATOR_NEW'!H12="ALU",0,D33*E25)</f>
        <v>92</v>
      </c>
      <c r="D10" s="29" t="s">
        <v>6</v>
      </c>
      <c r="E10" s="32">
        <f>ROUNDUP(C10/K5,0)</f>
        <v>4</v>
      </c>
      <c r="F10" s="6" t="s">
        <v>9</v>
      </c>
      <c r="G10" s="6"/>
      <c r="H10" s="6"/>
      <c r="I10" s="6"/>
      <c r="J10" s="6"/>
      <c r="K10" s="6"/>
      <c r="L10" s="6"/>
      <c r="M10" s="6"/>
      <c r="N10" s="6"/>
    </row>
    <row r="11" spans="1:14" x14ac:dyDescent="0.25">
      <c r="A11" s="6"/>
      <c r="B11" s="28" t="s">
        <v>19</v>
      </c>
      <c r="C11" s="29">
        <f>IF('1#KALKULATOR-CALCULATOR_NEW'!H12="ALU",E25*E24,E25*E24)</f>
        <v>1150</v>
      </c>
      <c r="D11" s="29" t="s">
        <v>6</v>
      </c>
      <c r="E11" s="32">
        <f>ROUNDUP(C11/K2,0)</f>
        <v>12</v>
      </c>
      <c r="F11" s="6" t="s">
        <v>9</v>
      </c>
      <c r="G11" s="6"/>
      <c r="H11" s="6"/>
      <c r="I11" s="6"/>
      <c r="J11" s="6"/>
      <c r="K11" s="6"/>
      <c r="L11" s="6"/>
      <c r="M11" s="6"/>
      <c r="N11" s="6"/>
    </row>
    <row r="12" spans="1:14" x14ac:dyDescent="0.25">
      <c r="A12" s="6"/>
      <c r="B12" s="33" t="s">
        <v>26</v>
      </c>
      <c r="C12" s="34">
        <f>E8*4/G4+ROUNDUP(E25,0)</f>
        <v>667.44444444444446</v>
      </c>
      <c r="D12" s="34" t="s">
        <v>6</v>
      </c>
      <c r="E12" s="35">
        <f>IF(OR('1#KALKULATOR-CALCULATOR_NEW'!H12="GUMMI PADS",'1#KALKULATOR-CALCULATOR_NEW'!H12="RUBBER PADS"),ROUNDUP(C12/K4,0),IF(OR('1#KALKULATOR-CALCULATOR_NEW'!H12="30-50 Justierfuß",'1#KALKULATOR-CALCULATOR_NEW'!H12="30-50 Pedestal"),ROUNDUP(C12/L4,0),ROUNDUP(C12/M4,0)))</f>
        <v>34</v>
      </c>
      <c r="F12" s="6">
        <f>IF(OR('1#KALKULATOR-CALCULATOR_NEW'!H12="GUMMI PADS",'1#KALKULATOR-CALCULATOR_NEW'!H12="RUBBER PADS"),ROUNDUP(C21/K4,0),IF(OR('1#KALKULATOR-CALCULATOR_NEW'!H12="30-50 Justierfuß",'1#KALKULATOR-CALCULATOR_NEW'!H12="30-50 Pedestal"),ROUNDUP(C21/L4,0),ROUNDUP(C21/M4,0)))</f>
        <v>37</v>
      </c>
      <c r="G12" s="6"/>
      <c r="H12" s="6"/>
      <c r="I12" s="6"/>
      <c r="J12" s="6"/>
      <c r="K12" s="6"/>
      <c r="L12" s="6"/>
      <c r="M12" s="6"/>
      <c r="N12" s="6"/>
    </row>
    <row r="13" spans="1:14" ht="15.75" thickBot="1" x14ac:dyDescent="0.3">
      <c r="A13" s="6"/>
      <c r="B13" s="36" t="s">
        <v>10</v>
      </c>
      <c r="C13" s="37">
        <f>E24*2</f>
        <v>100</v>
      </c>
      <c r="D13" s="37" t="s">
        <v>6</v>
      </c>
      <c r="E13" s="38">
        <f>ROUNDUP(C13/K3,0)</f>
        <v>4</v>
      </c>
      <c r="F13" s="6" t="s">
        <v>9</v>
      </c>
      <c r="G13" s="6"/>
      <c r="H13" s="6"/>
      <c r="I13" s="6"/>
      <c r="J13" s="6"/>
      <c r="K13" s="6"/>
      <c r="L13" s="6"/>
      <c r="M13" s="6"/>
      <c r="N13" s="6"/>
    </row>
    <row r="14" spans="1:14" x14ac:dyDescent="0.25">
      <c r="A14" s="202" t="s">
        <v>35</v>
      </c>
      <c r="B14" s="28" t="s">
        <v>32</v>
      </c>
      <c r="C14" s="29">
        <f>E28*2*(ROUNDUP(5*((D4/G2)),0))</f>
        <v>78</v>
      </c>
      <c r="D14" s="29" t="s">
        <v>6</v>
      </c>
      <c r="E14" s="32">
        <f>ROUNDUP(C14/K6,0)</f>
        <v>4</v>
      </c>
      <c r="F14" s="6" t="s">
        <v>9</v>
      </c>
      <c r="G14" s="6"/>
      <c r="H14" s="6"/>
      <c r="I14" s="6"/>
      <c r="J14" s="6"/>
      <c r="K14" s="6"/>
      <c r="L14" s="6"/>
      <c r="M14" s="6"/>
      <c r="N14" s="6"/>
    </row>
    <row r="15" spans="1:14" x14ac:dyDescent="0.25">
      <c r="A15" s="202"/>
      <c r="B15" s="28" t="s">
        <v>34</v>
      </c>
      <c r="C15" s="29">
        <f>(ROUNDUP(D4/G2,0)-1)*(ROUNDUP(E25/2,0)+1)</f>
        <v>26</v>
      </c>
      <c r="D15" s="29" t="s">
        <v>6</v>
      </c>
      <c r="E15" s="32">
        <f>ROUNDUP(C15/K7,0)</f>
        <v>2</v>
      </c>
      <c r="F15" s="6" t="s">
        <v>9</v>
      </c>
      <c r="G15" s="6"/>
      <c r="H15" s="6"/>
      <c r="I15" s="6"/>
      <c r="J15" s="6"/>
      <c r="K15" s="6"/>
      <c r="L15" s="6"/>
      <c r="M15" s="6"/>
      <c r="N15" s="6"/>
    </row>
    <row r="16" spans="1:14" x14ac:dyDescent="0.25">
      <c r="A16" s="202"/>
      <c r="B16" s="28" t="s">
        <v>33</v>
      </c>
      <c r="C16" s="29">
        <f>(ROUNDUP(D4/G2,0)+(D4/1))*2+(ROUNDUP(D4/G2,0)-1)*2</f>
        <v>30</v>
      </c>
      <c r="D16" s="29" t="s">
        <v>6</v>
      </c>
      <c r="E16" s="32">
        <f>ROUNDUP(C16/K8,0)</f>
        <v>2</v>
      </c>
      <c r="F16" s="6" t="s">
        <v>9</v>
      </c>
      <c r="G16" s="6"/>
      <c r="H16" s="6"/>
      <c r="I16" s="6"/>
      <c r="J16" s="6"/>
      <c r="K16" s="6"/>
      <c r="L16" s="6"/>
      <c r="M16" s="6"/>
      <c r="N16" s="6"/>
    </row>
    <row r="17" spans="1:14" x14ac:dyDescent="0.25">
      <c r="A17" s="202"/>
      <c r="B17" s="28" t="s">
        <v>37</v>
      </c>
      <c r="C17" s="29">
        <f>C12</f>
        <v>667.44444444444446</v>
      </c>
      <c r="D17" s="29" t="s">
        <v>6</v>
      </c>
      <c r="E17" s="32">
        <f>ROUNDUP(C17/K9,0)</f>
        <v>34</v>
      </c>
      <c r="F17" s="6" t="s">
        <v>9</v>
      </c>
      <c r="G17" s="6"/>
      <c r="H17" s="6"/>
      <c r="I17" s="6"/>
      <c r="J17" s="6"/>
      <c r="K17" s="6"/>
      <c r="L17" s="6"/>
      <c r="M17" s="6"/>
      <c r="N17" s="6"/>
    </row>
    <row r="18" spans="1:14" x14ac:dyDescent="0.25">
      <c r="A18" s="203" t="s">
        <v>36</v>
      </c>
      <c r="B18" s="28" t="s">
        <v>32</v>
      </c>
      <c r="C18" s="29">
        <f>ROUNDUP(ROUNDUP(E25,0)/2,0)*2</f>
        <v>24</v>
      </c>
      <c r="D18" s="29" t="s">
        <v>6</v>
      </c>
      <c r="E18" s="32">
        <f>ROUNDUP(C18/K6,0)</f>
        <v>2</v>
      </c>
      <c r="F18" s="6" t="s">
        <v>9</v>
      </c>
      <c r="G18" s="6"/>
      <c r="H18" s="6"/>
      <c r="I18" s="6"/>
      <c r="J18" s="6"/>
      <c r="K18" s="6"/>
      <c r="L18" s="6"/>
      <c r="M18" s="6"/>
      <c r="N18" s="6"/>
    </row>
    <row r="19" spans="1:14" x14ac:dyDescent="0.25">
      <c r="A19" s="203"/>
      <c r="B19" s="28" t="s">
        <v>34</v>
      </c>
      <c r="C19" s="29">
        <f>(ROUNDUP(ROUNDUP(E25,0)/2,0)+1)*(E28-1)+ROUNDUP(D5/G2,0)-1+ROUNDUP(D5/G2,0)-1</f>
        <v>30</v>
      </c>
      <c r="D19" s="29" t="s">
        <v>6</v>
      </c>
      <c r="E19" s="32">
        <f>ROUNDUP(C19/K7,0)</f>
        <v>2</v>
      </c>
      <c r="F19" s="6" t="s">
        <v>9</v>
      </c>
      <c r="G19" s="6"/>
      <c r="H19" s="6"/>
      <c r="I19" s="6"/>
      <c r="J19" s="6"/>
      <c r="K19" s="6"/>
      <c r="L19" s="6"/>
      <c r="M19" s="6"/>
      <c r="N19" s="6"/>
    </row>
    <row r="20" spans="1:14" x14ac:dyDescent="0.25">
      <c r="A20" s="203"/>
      <c r="B20" s="28" t="s">
        <v>33</v>
      </c>
      <c r="C20" s="29">
        <f>C18+C19</f>
        <v>54</v>
      </c>
      <c r="D20" s="29" t="s">
        <v>6</v>
      </c>
      <c r="E20" s="32">
        <f>ROUNDUP(C20/K8,0)</f>
        <v>4</v>
      </c>
      <c r="F20" s="6" t="s">
        <v>9</v>
      </c>
      <c r="G20" s="6"/>
      <c r="H20" s="6"/>
      <c r="I20" s="6"/>
      <c r="J20" s="6"/>
      <c r="K20" s="6"/>
      <c r="L20" s="6"/>
      <c r="M20" s="6"/>
      <c r="N20" s="6"/>
    </row>
    <row r="21" spans="1:14" ht="15.75" thickBot="1" x14ac:dyDescent="0.3">
      <c r="A21" s="203"/>
      <c r="B21" s="36" t="s">
        <v>37</v>
      </c>
      <c r="C21" s="37">
        <f>C17+ROUNDUP(D5*2/G4,0)</f>
        <v>723.44444444444446</v>
      </c>
      <c r="D21" s="37" t="s">
        <v>6</v>
      </c>
      <c r="E21" s="38">
        <f>ROUNDUP(C21/K9,0)</f>
        <v>37</v>
      </c>
      <c r="F21" s="6" t="s">
        <v>9</v>
      </c>
      <c r="G21" s="6"/>
      <c r="H21" s="6"/>
      <c r="I21" s="6"/>
      <c r="J21" s="6"/>
      <c r="K21" s="6"/>
      <c r="L21" s="6"/>
      <c r="M21" s="6"/>
      <c r="N21" s="6"/>
    </row>
    <row r="22" spans="1:14" x14ac:dyDescent="0.25">
      <c r="A22" s="6"/>
      <c r="B22" s="1"/>
      <c r="C22" s="1"/>
      <c r="D22" s="1"/>
      <c r="E22" s="48"/>
      <c r="F22" s="6"/>
      <c r="G22" s="6"/>
      <c r="H22" s="6"/>
      <c r="I22" s="6"/>
      <c r="J22" s="6"/>
      <c r="K22" s="6"/>
      <c r="L22" s="6"/>
      <c r="M22" s="6"/>
      <c r="N22" s="6"/>
    </row>
    <row r="23" spans="1:14" x14ac:dyDescent="0.25">
      <c r="A23" s="6"/>
      <c r="B23" s="6"/>
      <c r="C23" s="6"/>
      <c r="D23" s="6"/>
      <c r="E23" s="6"/>
      <c r="F23" s="6"/>
      <c r="G23" s="6"/>
      <c r="H23" s="6"/>
      <c r="I23" s="6"/>
      <c r="J23" s="6"/>
      <c r="K23" s="6"/>
      <c r="L23" s="6"/>
      <c r="M23" s="6"/>
      <c r="N23" s="6"/>
    </row>
    <row r="24" spans="1:14" x14ac:dyDescent="0.25">
      <c r="A24" s="6"/>
      <c r="B24" s="6" t="s">
        <v>20</v>
      </c>
      <c r="C24" s="6"/>
      <c r="D24" s="6">
        <f>D4/(D1+G1)</f>
        <v>49.875311720698249</v>
      </c>
      <c r="E24" s="6">
        <f>ROUNDUP(D24,0)</f>
        <v>50</v>
      </c>
      <c r="F24" s="6">
        <f>E24*E25</f>
        <v>1150</v>
      </c>
      <c r="G24" s="6"/>
      <c r="H24" s="6"/>
      <c r="I24" s="6"/>
      <c r="J24" s="6"/>
      <c r="K24" s="6"/>
      <c r="L24" s="6"/>
      <c r="M24" s="6"/>
      <c r="N24" s="6"/>
    </row>
    <row r="25" spans="1:14" x14ac:dyDescent="0.25">
      <c r="A25" s="6"/>
      <c r="B25" s="6" t="s">
        <v>21</v>
      </c>
      <c r="C25" s="6"/>
      <c r="D25" s="6"/>
      <c r="E25" s="6">
        <f>(ROUNDUP((D5/D2),0)+(D5/G3))</f>
        <v>23</v>
      </c>
      <c r="F25" s="6"/>
      <c r="G25" s="6"/>
      <c r="H25" s="6"/>
      <c r="I25" s="6"/>
      <c r="J25" s="6"/>
      <c r="K25" s="6"/>
      <c r="L25" s="6"/>
      <c r="M25" s="6"/>
      <c r="N25" s="6"/>
    </row>
    <row r="26" spans="1:14" x14ac:dyDescent="0.25">
      <c r="A26" s="6"/>
      <c r="B26" s="6" t="s">
        <v>5</v>
      </c>
      <c r="C26" s="6"/>
      <c r="D26" s="6">
        <f>D24*D2</f>
        <v>199.501246882793</v>
      </c>
      <c r="E26" s="6"/>
      <c r="F26" s="6"/>
      <c r="G26" s="6"/>
      <c r="H26" s="6"/>
      <c r="I26" s="6"/>
      <c r="J26" s="6"/>
      <c r="K26" s="6"/>
      <c r="L26" s="6"/>
      <c r="M26" s="6"/>
      <c r="N26" s="6"/>
    </row>
    <row r="27" spans="1:14" x14ac:dyDescent="0.25">
      <c r="A27" s="6"/>
      <c r="B27" s="6"/>
      <c r="C27" s="6"/>
      <c r="D27" s="6"/>
      <c r="E27" s="6"/>
      <c r="F27" s="6"/>
      <c r="G27" s="6"/>
      <c r="H27" s="6"/>
      <c r="I27" s="6"/>
      <c r="J27" s="6"/>
      <c r="K27" s="6"/>
      <c r="L27" s="6"/>
      <c r="M27" s="6"/>
      <c r="N27" s="6"/>
    </row>
    <row r="28" spans="1:14" x14ac:dyDescent="0.25">
      <c r="A28" s="6"/>
      <c r="B28" s="6" t="s">
        <v>13</v>
      </c>
      <c r="C28" s="6"/>
      <c r="D28" s="6">
        <f>D5/D2</f>
        <v>2.5</v>
      </c>
      <c r="E28" s="6">
        <f>ROUNDUP(D28,0)</f>
        <v>3</v>
      </c>
      <c r="F28" s="6">
        <f>ROUNDDOWN(D28,0)</f>
        <v>2</v>
      </c>
      <c r="G28" s="6"/>
      <c r="H28" s="6"/>
      <c r="I28" s="6"/>
      <c r="J28" s="6"/>
      <c r="K28" s="6"/>
      <c r="L28" s="6"/>
      <c r="M28" s="6"/>
      <c r="N28" s="6"/>
    </row>
    <row r="29" spans="1:14" x14ac:dyDescent="0.25">
      <c r="A29" s="6"/>
      <c r="B29" s="6" t="s">
        <v>12</v>
      </c>
      <c r="C29" s="6"/>
      <c r="D29" s="6">
        <f>E28-D28</f>
        <v>0.5</v>
      </c>
      <c r="E29" s="6">
        <f>D26*D29</f>
        <v>99.750623441396499</v>
      </c>
      <c r="F29" s="6"/>
      <c r="G29" s="6"/>
      <c r="H29" s="6"/>
      <c r="I29" s="6"/>
      <c r="J29" s="6"/>
      <c r="K29" s="6"/>
      <c r="L29" s="6"/>
      <c r="M29" s="6"/>
      <c r="N29" s="6"/>
    </row>
    <row r="30" spans="1:14" x14ac:dyDescent="0.25">
      <c r="A30" s="6"/>
      <c r="B30" s="6"/>
      <c r="C30" s="6"/>
      <c r="D30" s="6"/>
      <c r="E30" s="6"/>
      <c r="F30" s="6"/>
      <c r="G30" s="6"/>
      <c r="H30" s="6"/>
      <c r="I30" s="6"/>
      <c r="J30" s="6"/>
      <c r="K30" s="6"/>
      <c r="L30" s="6"/>
      <c r="M30" s="6"/>
      <c r="N30" s="6"/>
    </row>
    <row r="31" spans="1:14" x14ac:dyDescent="0.25">
      <c r="A31" s="6"/>
      <c r="B31" s="6"/>
      <c r="C31" s="6"/>
      <c r="D31" s="6">
        <f>D5/G3</f>
        <v>20</v>
      </c>
      <c r="E31" s="6"/>
      <c r="F31" s="6"/>
      <c r="G31" s="6"/>
      <c r="H31" s="6"/>
      <c r="I31" s="6"/>
      <c r="J31" s="6"/>
      <c r="K31" s="6"/>
      <c r="L31" s="6"/>
      <c r="M31" s="6"/>
      <c r="N31" s="6"/>
    </row>
    <row r="32" spans="1:14" x14ac:dyDescent="0.25">
      <c r="A32" s="6"/>
      <c r="B32" s="6"/>
      <c r="C32" s="6"/>
      <c r="D32" s="6"/>
      <c r="E32" s="6"/>
      <c r="F32" s="6"/>
      <c r="G32" s="6"/>
      <c r="H32" s="6"/>
      <c r="I32" s="6"/>
      <c r="J32" s="6"/>
      <c r="K32" s="6"/>
      <c r="L32" s="6"/>
      <c r="M32" s="6"/>
      <c r="N32" s="6"/>
    </row>
    <row r="33" spans="1:14" x14ac:dyDescent="0.25">
      <c r="A33" s="6"/>
      <c r="B33" s="6" t="s">
        <v>24</v>
      </c>
      <c r="C33" s="6"/>
      <c r="D33" s="6">
        <f>ROUNDUP(D4/2,0)-1</f>
        <v>4</v>
      </c>
      <c r="E33" s="6"/>
      <c r="F33" s="6"/>
      <c r="G33" s="6"/>
      <c r="H33" s="6"/>
      <c r="I33" s="6"/>
      <c r="J33" s="6"/>
      <c r="K33" s="6"/>
      <c r="L33" s="6"/>
      <c r="M33" s="6"/>
      <c r="N33" s="6"/>
    </row>
    <row r="34" spans="1:14" x14ac:dyDescent="0.25">
      <c r="A34" s="6"/>
      <c r="B34" s="6"/>
      <c r="C34" s="6"/>
      <c r="D34" s="6"/>
      <c r="E34" s="6"/>
      <c r="F34" s="6"/>
      <c r="G34" s="6"/>
      <c r="H34" s="6"/>
      <c r="I34" s="6"/>
      <c r="J34" s="6"/>
      <c r="K34" s="6"/>
      <c r="L34" s="6"/>
      <c r="M34" s="6"/>
      <c r="N34" s="6"/>
    </row>
    <row r="35" spans="1:14" x14ac:dyDescent="0.25">
      <c r="A35" s="6"/>
      <c r="B35" s="6"/>
      <c r="C35" s="6"/>
      <c r="D35" s="6"/>
      <c r="E35" s="6"/>
      <c r="F35" s="6"/>
      <c r="G35" s="6"/>
      <c r="H35" s="6"/>
      <c r="I35" s="6"/>
      <c r="J35" s="6"/>
      <c r="K35" s="6"/>
      <c r="L35" s="6"/>
      <c r="M35" s="6"/>
      <c r="N35" s="6"/>
    </row>
    <row r="36" spans="1:14" x14ac:dyDescent="0.25">
      <c r="A36" s="6"/>
      <c r="B36" s="6"/>
      <c r="C36" s="6"/>
      <c r="D36" s="6"/>
      <c r="E36" s="6"/>
      <c r="F36" s="6"/>
      <c r="G36" s="6"/>
      <c r="H36" s="6"/>
      <c r="I36" s="6"/>
      <c r="J36" s="6"/>
      <c r="K36" s="6"/>
      <c r="L36" s="6"/>
      <c r="M36" s="6"/>
      <c r="N36" s="6"/>
    </row>
    <row r="37" spans="1:14" x14ac:dyDescent="0.25">
      <c r="A37" s="6"/>
      <c r="B37" s="6"/>
      <c r="C37" s="6"/>
      <c r="D37" s="6">
        <f>D28-ROUNDDOWN(D28,0)</f>
        <v>0.5</v>
      </c>
      <c r="E37" s="6"/>
      <c r="F37" s="6"/>
      <c r="G37" s="6"/>
      <c r="H37" s="6"/>
      <c r="I37" s="6"/>
      <c r="J37" s="6"/>
      <c r="K37" s="6"/>
      <c r="L37" s="6"/>
      <c r="M37" s="6"/>
      <c r="N37" s="6"/>
    </row>
    <row r="38" spans="1:14" x14ac:dyDescent="0.25">
      <c r="A38" s="6"/>
      <c r="B38" s="6"/>
      <c r="C38" s="6"/>
      <c r="D38" s="6">
        <f>1/D37</f>
        <v>2</v>
      </c>
      <c r="E38" s="6">
        <f>E24/D38</f>
        <v>25</v>
      </c>
      <c r="F38" s="6"/>
      <c r="G38" s="6"/>
      <c r="H38" s="6"/>
      <c r="I38" s="6"/>
      <c r="J38" s="6"/>
      <c r="K38" s="6"/>
      <c r="L38" s="6"/>
      <c r="M38" s="6"/>
      <c r="N38" s="6"/>
    </row>
    <row r="39" spans="1:14" x14ac:dyDescent="0.25">
      <c r="A39" s="6"/>
      <c r="B39" s="6"/>
      <c r="C39" s="6"/>
      <c r="D39" s="6"/>
      <c r="E39" s="6"/>
      <c r="F39" s="6"/>
      <c r="G39" s="6"/>
      <c r="H39" s="6"/>
      <c r="I39" s="6"/>
      <c r="J39" s="6"/>
      <c r="K39" s="6"/>
      <c r="L39" s="6"/>
      <c r="M39" s="6"/>
      <c r="N39" s="6"/>
    </row>
    <row r="40" spans="1:14" x14ac:dyDescent="0.25">
      <c r="A40" s="6"/>
      <c r="B40" s="6"/>
      <c r="C40" s="6"/>
      <c r="D40" s="6">
        <f>E24/ROUNDDOWN(D38,0)</f>
        <v>25</v>
      </c>
      <c r="E40" s="6">
        <f>IFERROR(D40,0)</f>
        <v>25</v>
      </c>
      <c r="F40" s="6">
        <f>ROUNDUP(E24*F28+E40,0)</f>
        <v>125</v>
      </c>
      <c r="G40" s="6"/>
      <c r="H40" s="6"/>
      <c r="I40" s="6"/>
      <c r="J40" s="6"/>
      <c r="K40" s="6"/>
      <c r="L40" s="6"/>
      <c r="M40" s="6"/>
      <c r="N40" s="6"/>
    </row>
    <row r="41" spans="1:14" x14ac:dyDescent="0.25">
      <c r="A41" s="6"/>
      <c r="B41" s="6"/>
      <c r="C41" s="6"/>
      <c r="D41" s="6"/>
      <c r="E41" s="6"/>
      <c r="F41" s="6"/>
      <c r="G41" s="6"/>
      <c r="H41" s="6"/>
      <c r="I41" s="6"/>
      <c r="J41" s="6"/>
      <c r="K41" s="6"/>
      <c r="L41" s="6"/>
      <c r="M41" s="6"/>
      <c r="N41" s="6"/>
    </row>
  </sheetData>
  <mergeCells count="2">
    <mergeCell ref="A14:A17"/>
    <mergeCell ref="A18:A21"/>
  </mergeCells>
  <dataValidations disablePrompts="1" count="1">
    <dataValidation type="list" allowBlank="1" showInputMessage="1" showErrorMessage="1" sqref="D1">
      <mc:AlternateContent xmlns:x12ac="http://schemas.microsoft.com/office/spreadsheetml/2011/1/ac" xmlns:mc="http://schemas.openxmlformats.org/markup-compatibility/2006">
        <mc:Choice Requires="x12ac">
          <x12ac:list>"0,14","0,17","0,194"</x12ac:list>
        </mc:Choice>
        <mc:Fallback>
          <formula1>"0,14,0,17,0,194"</formula1>
        </mc:Fallback>
      </mc:AlternateContent>
    </dataValidation>
  </dataValidations>
  <pageMargins left="0.7" right="0.7" top="0.78740157499999996" bottom="0.78740157499999996" header="0.3" footer="0.3"/>
  <pageSetup paperSize="9" orientation="portrait" verticalDpi="598"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N41"/>
  <sheetViews>
    <sheetView topLeftCell="A3" zoomScaleNormal="100" workbookViewId="0">
      <selection activeCell="G5" sqref="G5"/>
    </sheetView>
  </sheetViews>
  <sheetFormatPr baseColWidth="10" defaultRowHeight="15" x14ac:dyDescent="0.25"/>
  <cols>
    <col min="1" max="1" width="13.5703125" bestFit="1" customWidth="1"/>
    <col min="2" max="2" width="21.7109375" bestFit="1" customWidth="1"/>
    <col min="6" max="6" width="12.140625" customWidth="1"/>
    <col min="7" max="7" width="14.85546875" customWidth="1"/>
    <col min="9" max="10" width="14.28515625" bestFit="1" customWidth="1"/>
  </cols>
  <sheetData>
    <row r="1" spans="1:14" x14ac:dyDescent="0.25">
      <c r="A1" s="6" t="s">
        <v>0</v>
      </c>
      <c r="B1" s="7" t="s">
        <v>3</v>
      </c>
      <c r="C1" s="8" t="s">
        <v>1</v>
      </c>
      <c r="D1" s="9">
        <v>0.14000000000000001</v>
      </c>
      <c r="E1" s="6"/>
      <c r="F1" s="8" t="s">
        <v>11</v>
      </c>
      <c r="G1" s="10">
        <v>6.4999999999999997E-3</v>
      </c>
      <c r="H1" s="6"/>
      <c r="I1" s="11" t="s">
        <v>8</v>
      </c>
      <c r="J1" s="11" t="s">
        <v>15</v>
      </c>
      <c r="K1" s="12">
        <v>25</v>
      </c>
      <c r="L1" s="6"/>
      <c r="M1" s="6"/>
      <c r="N1" s="6"/>
    </row>
    <row r="2" spans="1:14" ht="15.75" thickBot="1" x14ac:dyDescent="0.3">
      <c r="A2" s="6"/>
      <c r="B2" s="13"/>
      <c r="C2" s="14" t="s">
        <v>2</v>
      </c>
      <c r="D2" s="15">
        <f>'1#KALKULATOR-CALCULATOR_NEW'!H5</f>
        <v>4</v>
      </c>
      <c r="E2" s="6"/>
      <c r="F2" s="16" t="s">
        <v>22</v>
      </c>
      <c r="G2" s="17">
        <v>4</v>
      </c>
      <c r="H2" s="6"/>
      <c r="I2" s="11"/>
      <c r="J2" s="11" t="s">
        <v>19</v>
      </c>
      <c r="K2" s="12">
        <v>100</v>
      </c>
      <c r="L2" s="6"/>
      <c r="M2" s="6"/>
      <c r="N2" s="6"/>
    </row>
    <row r="3" spans="1:14" ht="16.5" customHeight="1" thickBot="1" x14ac:dyDescent="0.3">
      <c r="A3" s="6"/>
      <c r="B3" s="6"/>
      <c r="C3" s="6"/>
      <c r="D3" s="6"/>
      <c r="E3" s="6"/>
      <c r="F3" s="14" t="s">
        <v>14</v>
      </c>
      <c r="G3" s="18">
        <v>0.5</v>
      </c>
      <c r="H3" s="6"/>
      <c r="I3" s="11"/>
      <c r="J3" s="11" t="s">
        <v>10</v>
      </c>
      <c r="K3" s="12">
        <v>25</v>
      </c>
      <c r="L3" s="6"/>
      <c r="M3" s="6"/>
      <c r="N3" s="6"/>
    </row>
    <row r="4" spans="1:14" x14ac:dyDescent="0.25">
      <c r="A4" s="6"/>
      <c r="B4" s="19" t="s">
        <v>4</v>
      </c>
      <c r="C4" s="20" t="s">
        <v>1</v>
      </c>
      <c r="D4" s="9">
        <f>'1#KALKULATOR-CALCULATOR_NEW'!H7</f>
        <v>10</v>
      </c>
      <c r="E4" s="6"/>
      <c r="F4" s="6" t="s">
        <v>27</v>
      </c>
      <c r="G4" s="6">
        <v>0.36</v>
      </c>
      <c r="H4" s="6"/>
      <c r="I4" s="11"/>
      <c r="J4" s="11" t="s">
        <v>23</v>
      </c>
      <c r="K4" s="12">
        <v>100</v>
      </c>
      <c r="L4" s="6">
        <v>25</v>
      </c>
      <c r="M4" s="6">
        <v>20</v>
      </c>
      <c r="N4" s="6"/>
    </row>
    <row r="5" spans="1:14" ht="15.75" thickBot="1" x14ac:dyDescent="0.3">
      <c r="A5" s="6"/>
      <c r="B5" s="14"/>
      <c r="C5" s="21" t="s">
        <v>2</v>
      </c>
      <c r="D5" s="15">
        <f>'1#KALKULATOR-CALCULATOR_NEW'!H8</f>
        <v>10</v>
      </c>
      <c r="E5" s="6"/>
      <c r="F5" s="6"/>
      <c r="G5" s="6"/>
      <c r="H5" s="6"/>
      <c r="I5" s="11"/>
      <c r="J5" s="22" t="s">
        <v>16</v>
      </c>
      <c r="K5" s="12">
        <v>25</v>
      </c>
      <c r="L5" s="6"/>
      <c r="M5" s="6"/>
      <c r="N5" s="6"/>
    </row>
    <row r="6" spans="1:14" ht="15.75" thickBot="1" x14ac:dyDescent="0.3">
      <c r="A6" s="6"/>
      <c r="B6" s="23"/>
      <c r="C6" s="23"/>
      <c r="D6" s="24"/>
      <c r="E6" s="6"/>
      <c r="F6" s="6"/>
      <c r="G6" s="6"/>
      <c r="H6" s="6"/>
      <c r="I6" s="6"/>
      <c r="J6" s="22" t="s">
        <v>32</v>
      </c>
      <c r="K6" s="12">
        <v>20</v>
      </c>
      <c r="L6" s="6"/>
      <c r="M6" s="6"/>
      <c r="N6" s="6"/>
    </row>
    <row r="7" spans="1:14" x14ac:dyDescent="0.25">
      <c r="A7" s="6"/>
      <c r="B7" s="25" t="s">
        <v>17</v>
      </c>
      <c r="C7" s="26"/>
      <c r="D7" s="26"/>
      <c r="E7" s="27">
        <f>IF(D37&gt;0.54,E24*E28,(ROUNDUP(D26/D2*D28,0)))</f>
        <v>171</v>
      </c>
      <c r="F7" s="6" t="s">
        <v>6</v>
      </c>
      <c r="G7" s="6"/>
      <c r="H7" s="6"/>
      <c r="I7" s="6"/>
      <c r="J7" s="22" t="s">
        <v>34</v>
      </c>
      <c r="K7" s="12">
        <v>20</v>
      </c>
      <c r="L7" s="6">
        <f>51*4/0.36+28</f>
        <v>594.66666666666674</v>
      </c>
      <c r="M7" s="6">
        <f>L7/20</f>
        <v>29.733333333333338</v>
      </c>
      <c r="N7" s="6"/>
    </row>
    <row r="8" spans="1:14" x14ac:dyDescent="0.25">
      <c r="A8" s="6"/>
      <c r="B8" s="28" t="s">
        <v>18</v>
      </c>
      <c r="C8" s="29">
        <f>ROUNDUP((ROUNDUP((D5/D2),0)+(D5/G3))*D4,0)</f>
        <v>230</v>
      </c>
      <c r="D8" s="30" t="s">
        <v>5</v>
      </c>
      <c r="E8" s="31">
        <f>ROUNDUP(C8/G2,0)</f>
        <v>58</v>
      </c>
      <c r="F8" s="6" t="s">
        <v>6</v>
      </c>
      <c r="G8" s="6"/>
      <c r="H8" s="6"/>
      <c r="I8" s="6"/>
      <c r="J8" s="22" t="s">
        <v>33</v>
      </c>
      <c r="K8" s="12">
        <v>15</v>
      </c>
      <c r="L8" s="6"/>
      <c r="M8" s="6"/>
      <c r="N8" s="6"/>
    </row>
    <row r="9" spans="1:14" x14ac:dyDescent="0.25">
      <c r="A9" s="6"/>
      <c r="B9" s="28" t="s">
        <v>7</v>
      </c>
      <c r="C9" s="29">
        <f>E25*2</f>
        <v>46</v>
      </c>
      <c r="D9" s="29" t="s">
        <v>6</v>
      </c>
      <c r="E9" s="32">
        <f>ROUNDUP(C9/K1,0)</f>
        <v>2</v>
      </c>
      <c r="F9" s="6" t="s">
        <v>9</v>
      </c>
      <c r="G9" s="6"/>
      <c r="H9" s="6"/>
      <c r="I9" s="6"/>
      <c r="J9" s="46" t="s">
        <v>37</v>
      </c>
      <c r="K9" s="47">
        <v>20</v>
      </c>
      <c r="L9" s="6"/>
      <c r="M9" s="6"/>
      <c r="N9" s="6"/>
    </row>
    <row r="10" spans="1:14" x14ac:dyDescent="0.25">
      <c r="A10" s="6"/>
      <c r="B10" s="28" t="s">
        <v>25</v>
      </c>
      <c r="C10" s="29">
        <f>IF('1#KALKULATOR-CALCULATOR_NEW'!H12="ALU",0,D33*E25)</f>
        <v>92</v>
      </c>
      <c r="D10" s="29" t="s">
        <v>6</v>
      </c>
      <c r="E10" s="32">
        <f>ROUNDUP(C10/K5,0)</f>
        <v>4</v>
      </c>
      <c r="F10" s="6" t="s">
        <v>9</v>
      </c>
      <c r="G10" s="6"/>
      <c r="H10" s="6"/>
      <c r="I10" s="6"/>
      <c r="J10" s="6"/>
      <c r="K10" s="6"/>
      <c r="L10" s="6"/>
      <c r="M10" s="6"/>
      <c r="N10" s="6"/>
    </row>
    <row r="11" spans="1:14" x14ac:dyDescent="0.25">
      <c r="A11" s="6"/>
      <c r="B11" s="28" t="s">
        <v>19</v>
      </c>
      <c r="C11" s="29">
        <f>IF('1#KALKULATOR-CALCULATOR_NEW'!H12="ALU",E25*E24,E25*E24)</f>
        <v>1587</v>
      </c>
      <c r="D11" s="29" t="s">
        <v>6</v>
      </c>
      <c r="E11" s="32">
        <f>ROUNDUP(C11/K2,0)</f>
        <v>16</v>
      </c>
      <c r="F11" s="6" t="s">
        <v>9</v>
      </c>
      <c r="G11" s="6"/>
      <c r="H11" s="6"/>
      <c r="I11" s="6"/>
      <c r="J11" s="6"/>
      <c r="K11" s="6"/>
      <c r="L11" s="6"/>
      <c r="M11" s="6"/>
      <c r="N11" s="6"/>
    </row>
    <row r="12" spans="1:14" x14ac:dyDescent="0.25">
      <c r="A12" s="6"/>
      <c r="B12" s="33" t="s">
        <v>26</v>
      </c>
      <c r="C12" s="34">
        <f>E8*4/G4+ROUNDUP(E25,0)</f>
        <v>667.44444444444446</v>
      </c>
      <c r="D12" s="34" t="s">
        <v>6</v>
      </c>
      <c r="E12" s="122">
        <f>IF(OR('1#KALKULATOR-CALCULATOR_NEW'!H12="GUMMI PADS",'1#KALKULATOR-CALCULATOR_NEW'!H12="RUBBER PADS"),ROUNDUP(C12/K4,0),IF(OR('1#KALKULATOR-CALCULATOR_NEW'!H12="30-50 Justierfuß",'1#KALKULATOR-CALCULATOR_NEW'!H12="30-50 Pedestal"),ROUNDUP(C12/L4,0),ROUNDUP(C12/M4,0)))</f>
        <v>34</v>
      </c>
      <c r="F12" s="123">
        <f>IF(OR('1#KALKULATOR-CALCULATOR_NEW'!H12="GUMMI PADS",'1#KALKULATOR-CALCULATOR_NEW'!H12="RUBBER PADS"),ROUNDUP(C21/K4,0),IF(OR('1#KALKULATOR-CALCULATOR_NEW'!H12="30-50 Justierfuß",'1#KALKULATOR-CALCULATOR_NEW'!H12="30-50 Pedestal"),ROUNDUP(C21/L4,0),ROUNDUP(C21/M4,0)))</f>
        <v>37</v>
      </c>
      <c r="G12" s="6"/>
      <c r="H12" s="6"/>
      <c r="I12" s="6"/>
      <c r="J12" s="6"/>
      <c r="K12" s="6"/>
      <c r="L12" s="6"/>
      <c r="M12" s="6"/>
      <c r="N12" s="6"/>
    </row>
    <row r="13" spans="1:14" ht="15.75" thickBot="1" x14ac:dyDescent="0.3">
      <c r="A13" s="6"/>
      <c r="B13" s="36" t="s">
        <v>10</v>
      </c>
      <c r="C13" s="37">
        <f>E24*2</f>
        <v>138</v>
      </c>
      <c r="D13" s="37" t="s">
        <v>6</v>
      </c>
      <c r="E13" s="38">
        <f>ROUNDUP(C13/K3,0)</f>
        <v>6</v>
      </c>
      <c r="F13" s="6" t="s">
        <v>9</v>
      </c>
      <c r="G13" s="6"/>
      <c r="H13" s="6"/>
      <c r="I13" s="6"/>
      <c r="J13" s="6"/>
      <c r="K13" s="6"/>
      <c r="L13" s="6"/>
      <c r="M13" s="6"/>
      <c r="N13" s="6"/>
    </row>
    <row r="14" spans="1:14" x14ac:dyDescent="0.25">
      <c r="A14" s="202" t="s">
        <v>35</v>
      </c>
      <c r="B14" s="28" t="s">
        <v>32</v>
      </c>
      <c r="C14" s="29">
        <f>E28*2*(ROUNDUP(5*((D4/G2)),0))</f>
        <v>78</v>
      </c>
      <c r="D14" s="29" t="s">
        <v>6</v>
      </c>
      <c r="E14" s="32">
        <f>ROUNDUP(C14/K6,0)</f>
        <v>4</v>
      </c>
      <c r="F14" s="6" t="s">
        <v>9</v>
      </c>
      <c r="G14" s="6"/>
      <c r="H14" s="6"/>
      <c r="I14" s="6"/>
      <c r="J14" s="6"/>
      <c r="K14" s="6"/>
      <c r="L14" s="6"/>
      <c r="M14" s="6"/>
      <c r="N14" s="6"/>
    </row>
    <row r="15" spans="1:14" x14ac:dyDescent="0.25">
      <c r="A15" s="202"/>
      <c r="B15" s="28" t="s">
        <v>34</v>
      </c>
      <c r="C15" s="29">
        <f>(ROUNDUP(D4/G2,0)-1)*(ROUNDUP(E25/2,0)+1)</f>
        <v>26</v>
      </c>
      <c r="D15" s="29" t="s">
        <v>6</v>
      </c>
      <c r="E15" s="32">
        <f>ROUNDUP(C15/K7,0)</f>
        <v>2</v>
      </c>
      <c r="F15" s="6" t="s">
        <v>9</v>
      </c>
      <c r="G15" s="6"/>
      <c r="H15" s="6"/>
      <c r="I15" s="6"/>
      <c r="J15" s="6"/>
      <c r="K15" s="6"/>
      <c r="L15" s="6"/>
      <c r="M15" s="6"/>
      <c r="N15" s="6"/>
    </row>
    <row r="16" spans="1:14" x14ac:dyDescent="0.25">
      <c r="A16" s="202"/>
      <c r="B16" s="28" t="s">
        <v>33</v>
      </c>
      <c r="C16" s="29">
        <f>(ROUNDUP(D4/G2,0)+(D4/1))*2+(ROUNDUP(D4/G2,0)-1)*2</f>
        <v>30</v>
      </c>
      <c r="D16" s="29" t="s">
        <v>6</v>
      </c>
      <c r="E16" s="32">
        <f>ROUNDUP(C16/K8,0)</f>
        <v>2</v>
      </c>
      <c r="F16" s="6" t="s">
        <v>9</v>
      </c>
      <c r="G16" s="6"/>
      <c r="H16" s="6"/>
      <c r="I16" s="6"/>
      <c r="J16" s="6"/>
      <c r="K16" s="6"/>
      <c r="L16" s="6"/>
      <c r="M16" s="6"/>
      <c r="N16" s="6"/>
    </row>
    <row r="17" spans="1:14" x14ac:dyDescent="0.25">
      <c r="A17" s="202"/>
      <c r="B17" s="28" t="s">
        <v>37</v>
      </c>
      <c r="C17" s="29">
        <f>C12</f>
        <v>667.44444444444446</v>
      </c>
      <c r="D17" s="29" t="s">
        <v>6</v>
      </c>
      <c r="E17" s="32">
        <f>ROUNDUP(C17/K9,0)</f>
        <v>34</v>
      </c>
      <c r="F17" s="6" t="s">
        <v>9</v>
      </c>
      <c r="G17" s="6"/>
      <c r="H17" s="6"/>
      <c r="I17" s="6"/>
      <c r="J17" s="6"/>
      <c r="K17" s="6"/>
      <c r="L17" s="6"/>
      <c r="M17" s="6"/>
      <c r="N17" s="6"/>
    </row>
    <row r="18" spans="1:14" x14ac:dyDescent="0.25">
      <c r="A18" s="203" t="s">
        <v>36</v>
      </c>
      <c r="B18" s="28" t="s">
        <v>32</v>
      </c>
      <c r="C18" s="29">
        <f>ROUNDUP(ROUNDUP(E25,0)/2,0)*2</f>
        <v>24</v>
      </c>
      <c r="D18" s="29" t="s">
        <v>6</v>
      </c>
      <c r="E18" s="32">
        <f>ROUNDUP(C18/K6,0)</f>
        <v>2</v>
      </c>
      <c r="F18" s="6" t="s">
        <v>9</v>
      </c>
      <c r="G18" s="6"/>
      <c r="H18" s="6"/>
      <c r="I18" s="6"/>
      <c r="J18" s="6"/>
      <c r="K18" s="6"/>
      <c r="L18" s="6"/>
      <c r="M18" s="6"/>
      <c r="N18" s="6"/>
    </row>
    <row r="19" spans="1:14" x14ac:dyDescent="0.25">
      <c r="A19" s="203"/>
      <c r="B19" s="28" t="s">
        <v>34</v>
      </c>
      <c r="C19" s="29">
        <f>(ROUNDUP(ROUNDUP(E25,0)/2,0)+1)*(E28-1)+ROUNDUP(D5/G2,0)-1+ROUNDUP(D5/G2,0)-1</f>
        <v>30</v>
      </c>
      <c r="D19" s="29" t="s">
        <v>6</v>
      </c>
      <c r="E19" s="32">
        <f>ROUNDUP(C19/K7,0)</f>
        <v>2</v>
      </c>
      <c r="F19" s="6" t="s">
        <v>9</v>
      </c>
      <c r="G19" s="6"/>
      <c r="H19" s="6"/>
      <c r="I19" s="6"/>
      <c r="J19" s="6"/>
      <c r="K19" s="6"/>
      <c r="L19" s="6"/>
      <c r="M19" s="6"/>
      <c r="N19" s="6"/>
    </row>
    <row r="20" spans="1:14" x14ac:dyDescent="0.25">
      <c r="A20" s="203"/>
      <c r="B20" s="28" t="s">
        <v>33</v>
      </c>
      <c r="C20" s="29">
        <f>C18+C19</f>
        <v>54</v>
      </c>
      <c r="D20" s="29" t="s">
        <v>6</v>
      </c>
      <c r="E20" s="32">
        <f>ROUNDUP(C20/K8,0)</f>
        <v>4</v>
      </c>
      <c r="F20" s="6" t="s">
        <v>9</v>
      </c>
      <c r="G20" s="6"/>
      <c r="H20" s="6"/>
      <c r="I20" s="6"/>
      <c r="J20" s="6"/>
      <c r="K20" s="6"/>
      <c r="L20" s="6"/>
      <c r="M20" s="6"/>
      <c r="N20" s="6"/>
    </row>
    <row r="21" spans="1:14" ht="15.75" thickBot="1" x14ac:dyDescent="0.3">
      <c r="A21" s="203"/>
      <c r="B21" s="36" t="s">
        <v>37</v>
      </c>
      <c r="C21" s="37">
        <f>C17+ROUNDUP((D5*2)/G4,0)</f>
        <v>723.44444444444446</v>
      </c>
      <c r="D21" s="37" t="s">
        <v>6</v>
      </c>
      <c r="E21" s="38">
        <f>ROUNDUP(C21/K9,0)</f>
        <v>37</v>
      </c>
      <c r="F21" s="6" t="s">
        <v>9</v>
      </c>
      <c r="G21" s="6"/>
      <c r="H21" s="6"/>
      <c r="I21" s="6"/>
      <c r="J21" s="6"/>
      <c r="K21" s="6"/>
      <c r="L21" s="6"/>
      <c r="M21" s="6"/>
      <c r="N21" s="6"/>
    </row>
    <row r="22" spans="1:14" x14ac:dyDescent="0.25">
      <c r="A22" s="6"/>
      <c r="B22" s="1"/>
      <c r="C22" s="1"/>
      <c r="D22" s="1"/>
      <c r="E22" s="48"/>
      <c r="F22" s="6"/>
      <c r="G22" s="6"/>
      <c r="H22" s="6"/>
      <c r="I22" s="6"/>
      <c r="J22" s="6"/>
      <c r="K22" s="6"/>
      <c r="L22" s="6"/>
      <c r="M22" s="6"/>
      <c r="N22" s="6"/>
    </row>
    <row r="23" spans="1:14" x14ac:dyDescent="0.25">
      <c r="A23" s="6"/>
      <c r="B23" s="6"/>
      <c r="C23" s="6"/>
      <c r="D23" s="6"/>
      <c r="E23" s="6"/>
      <c r="F23" s="6"/>
      <c r="G23" s="6"/>
      <c r="H23" s="6"/>
      <c r="I23" s="6"/>
      <c r="J23" s="6"/>
      <c r="K23" s="6"/>
      <c r="L23" s="6"/>
      <c r="M23" s="6"/>
      <c r="N23" s="6"/>
    </row>
    <row r="24" spans="1:14" x14ac:dyDescent="0.25">
      <c r="A24" s="6"/>
      <c r="B24" s="6" t="s">
        <v>20</v>
      </c>
      <c r="C24" s="6"/>
      <c r="D24" s="6">
        <f>D4/(D1+G1)</f>
        <v>68.259385665528995</v>
      </c>
      <c r="E24" s="6">
        <f>ROUNDUP(D24,0)</f>
        <v>69</v>
      </c>
      <c r="F24" s="6">
        <f>E24*E25</f>
        <v>1587</v>
      </c>
      <c r="G24" s="6"/>
      <c r="H24" s="6"/>
      <c r="I24" s="6"/>
      <c r="J24" s="6"/>
      <c r="K24" s="6"/>
      <c r="L24" s="6"/>
      <c r="M24" s="6"/>
      <c r="N24" s="6"/>
    </row>
    <row r="25" spans="1:14" x14ac:dyDescent="0.25">
      <c r="A25" s="6"/>
      <c r="B25" s="6" t="s">
        <v>21</v>
      </c>
      <c r="C25" s="6"/>
      <c r="D25" s="6"/>
      <c r="E25" s="6">
        <f>(ROUNDUP((D5/D2),0)+(D5/G3))</f>
        <v>23</v>
      </c>
      <c r="F25" s="6"/>
      <c r="G25" s="6"/>
      <c r="H25" s="6"/>
      <c r="I25" s="6"/>
      <c r="J25" s="6"/>
      <c r="K25" s="6"/>
      <c r="L25" s="6"/>
      <c r="M25" s="6"/>
      <c r="N25" s="6"/>
    </row>
    <row r="26" spans="1:14" x14ac:dyDescent="0.25">
      <c r="A26" s="6"/>
      <c r="B26" s="6" t="s">
        <v>5</v>
      </c>
      <c r="C26" s="6"/>
      <c r="D26" s="6">
        <f>D24*D2</f>
        <v>273.03754266211598</v>
      </c>
      <c r="E26" s="6"/>
      <c r="F26" s="6"/>
      <c r="G26" s="6"/>
      <c r="H26" s="6"/>
      <c r="I26" s="6"/>
      <c r="J26" s="6"/>
      <c r="K26" s="6"/>
      <c r="L26" s="6"/>
      <c r="M26" s="6"/>
      <c r="N26" s="6"/>
    </row>
    <row r="27" spans="1:14" x14ac:dyDescent="0.25">
      <c r="A27" s="6"/>
      <c r="B27" s="6"/>
      <c r="C27" s="6"/>
      <c r="D27" s="6"/>
      <c r="E27" s="6"/>
      <c r="F27" s="6"/>
      <c r="G27" s="6"/>
      <c r="H27" s="6"/>
      <c r="I27" s="6"/>
      <c r="J27" s="6"/>
      <c r="K27" s="6"/>
      <c r="L27" s="6"/>
      <c r="M27" s="6"/>
      <c r="N27" s="6"/>
    </row>
    <row r="28" spans="1:14" x14ac:dyDescent="0.25">
      <c r="A28" s="6"/>
      <c r="B28" s="6" t="s">
        <v>13</v>
      </c>
      <c r="C28" s="6"/>
      <c r="D28" s="6">
        <f>D5/D2</f>
        <v>2.5</v>
      </c>
      <c r="E28" s="6">
        <f>ROUNDUP(D28,0)</f>
        <v>3</v>
      </c>
      <c r="F28" s="6">
        <f>ROUNDDOWN(D28,0)</f>
        <v>2</v>
      </c>
      <c r="G28" s="6"/>
      <c r="H28" s="6"/>
      <c r="I28" s="6"/>
      <c r="J28" s="6"/>
      <c r="K28" s="6"/>
      <c r="L28" s="6"/>
      <c r="M28" s="6"/>
      <c r="N28" s="6"/>
    </row>
    <row r="29" spans="1:14" x14ac:dyDescent="0.25">
      <c r="A29" s="6"/>
      <c r="B29" s="6" t="s">
        <v>12</v>
      </c>
      <c r="C29" s="6"/>
      <c r="D29" s="6">
        <f>E28-D28</f>
        <v>0.5</v>
      </c>
      <c r="E29" s="6">
        <f>D26*D29</f>
        <v>136.51877133105799</v>
      </c>
      <c r="F29" s="6"/>
      <c r="G29" s="6"/>
      <c r="H29" s="6"/>
      <c r="I29" s="6"/>
      <c r="J29" s="6"/>
      <c r="K29" s="6"/>
      <c r="L29" s="6"/>
      <c r="M29" s="6"/>
      <c r="N29" s="6"/>
    </row>
    <row r="30" spans="1:14" x14ac:dyDescent="0.25">
      <c r="A30" s="6"/>
      <c r="B30" s="6"/>
      <c r="C30" s="6"/>
      <c r="D30" s="6"/>
      <c r="E30" s="6"/>
      <c r="F30" s="6"/>
      <c r="G30" s="6"/>
      <c r="H30" s="6"/>
      <c r="I30" s="6"/>
      <c r="J30" s="6"/>
      <c r="K30" s="6"/>
      <c r="L30" s="6"/>
      <c r="M30" s="6"/>
      <c r="N30" s="6"/>
    </row>
    <row r="31" spans="1:14" x14ac:dyDescent="0.25">
      <c r="A31" s="6"/>
      <c r="B31" s="6"/>
      <c r="C31" s="6"/>
      <c r="D31" s="6">
        <f>D5/G3</f>
        <v>20</v>
      </c>
      <c r="E31" s="6"/>
      <c r="F31" s="6"/>
      <c r="G31" s="6"/>
      <c r="H31" s="6"/>
      <c r="I31" s="6"/>
      <c r="J31" s="6"/>
      <c r="K31" s="6"/>
      <c r="L31" s="6"/>
      <c r="M31" s="6"/>
      <c r="N31" s="6"/>
    </row>
    <row r="32" spans="1:14" x14ac:dyDescent="0.25">
      <c r="A32" s="6"/>
      <c r="B32" s="6"/>
      <c r="C32" s="6"/>
      <c r="D32" s="6"/>
      <c r="E32" s="6"/>
      <c r="F32" s="6"/>
      <c r="G32" s="6"/>
      <c r="H32" s="6"/>
      <c r="I32" s="6"/>
      <c r="J32" s="6"/>
      <c r="K32" s="6"/>
      <c r="L32" s="6"/>
      <c r="M32" s="6"/>
      <c r="N32" s="6"/>
    </row>
    <row r="33" spans="1:14" x14ac:dyDescent="0.25">
      <c r="A33" s="6"/>
      <c r="B33" s="6" t="s">
        <v>24</v>
      </c>
      <c r="C33" s="6"/>
      <c r="D33" s="6">
        <f>ROUNDUP(D4/2,0)-1</f>
        <v>4</v>
      </c>
      <c r="E33" s="6"/>
      <c r="F33" s="6"/>
      <c r="G33" s="6"/>
      <c r="H33" s="6"/>
      <c r="I33" s="6"/>
      <c r="J33" s="6"/>
      <c r="K33" s="6"/>
      <c r="L33" s="6"/>
      <c r="M33" s="6"/>
      <c r="N33" s="6"/>
    </row>
    <row r="34" spans="1:14" x14ac:dyDescent="0.25">
      <c r="A34" s="6"/>
      <c r="B34" s="6"/>
      <c r="C34" s="6"/>
      <c r="D34" s="6"/>
      <c r="E34" s="6"/>
      <c r="F34" s="6"/>
      <c r="G34" s="6"/>
      <c r="H34" s="6"/>
      <c r="I34" s="6"/>
      <c r="J34" s="6"/>
      <c r="K34" s="6"/>
      <c r="L34" s="6"/>
      <c r="M34" s="6"/>
      <c r="N34" s="6"/>
    </row>
    <row r="35" spans="1:14" x14ac:dyDescent="0.25">
      <c r="A35" s="6"/>
      <c r="B35" s="6"/>
      <c r="C35" s="6"/>
      <c r="D35" s="6"/>
      <c r="E35" s="6"/>
      <c r="F35" s="6"/>
      <c r="G35" s="6"/>
      <c r="H35" s="6"/>
      <c r="I35" s="6"/>
      <c r="J35" s="6"/>
      <c r="K35" s="6"/>
      <c r="L35" s="6"/>
      <c r="M35" s="6"/>
      <c r="N35" s="6"/>
    </row>
    <row r="36" spans="1:14" x14ac:dyDescent="0.25">
      <c r="A36" s="6"/>
      <c r="B36" s="6"/>
      <c r="C36" s="6"/>
      <c r="D36" s="6"/>
      <c r="E36" s="6"/>
      <c r="F36" s="6"/>
      <c r="G36" s="6"/>
      <c r="H36" s="6"/>
      <c r="I36" s="6"/>
      <c r="J36" s="6"/>
      <c r="K36" s="6"/>
      <c r="L36" s="6"/>
      <c r="M36" s="6"/>
      <c r="N36" s="6"/>
    </row>
    <row r="37" spans="1:14" x14ac:dyDescent="0.25">
      <c r="A37" s="6"/>
      <c r="B37" s="6"/>
      <c r="C37" s="6"/>
      <c r="D37" s="6">
        <f>D28-ROUNDDOWN(D28,0)</f>
        <v>0.5</v>
      </c>
      <c r="E37" s="6"/>
      <c r="F37" s="6"/>
      <c r="G37" s="6"/>
      <c r="H37" s="6"/>
      <c r="I37" s="6"/>
      <c r="J37" s="6"/>
      <c r="K37" s="6"/>
      <c r="L37" s="6"/>
      <c r="M37" s="6"/>
      <c r="N37" s="6"/>
    </row>
    <row r="38" spans="1:14" x14ac:dyDescent="0.25">
      <c r="A38" s="6"/>
      <c r="B38" s="6"/>
      <c r="C38" s="6"/>
      <c r="D38" s="6">
        <f>1/D37</f>
        <v>2</v>
      </c>
      <c r="E38" s="6">
        <f>E24/D38</f>
        <v>34.5</v>
      </c>
      <c r="F38" s="6"/>
      <c r="G38" s="6"/>
      <c r="H38" s="6"/>
      <c r="I38" s="6"/>
      <c r="J38" s="6"/>
      <c r="K38" s="6"/>
      <c r="L38" s="6"/>
      <c r="M38" s="6"/>
      <c r="N38" s="6"/>
    </row>
    <row r="39" spans="1:14" x14ac:dyDescent="0.25">
      <c r="A39" s="6"/>
      <c r="B39" s="6"/>
      <c r="C39" s="6"/>
      <c r="D39" s="6"/>
      <c r="E39" s="6"/>
      <c r="F39" s="6"/>
      <c r="G39" s="6"/>
      <c r="H39" s="6"/>
      <c r="I39" s="6"/>
      <c r="J39" s="6"/>
      <c r="K39" s="6"/>
      <c r="L39" s="6"/>
      <c r="M39" s="6"/>
      <c r="N39" s="6"/>
    </row>
    <row r="40" spans="1:14" x14ac:dyDescent="0.25">
      <c r="A40" s="6"/>
      <c r="B40" s="6"/>
      <c r="C40" s="6"/>
      <c r="D40" s="6">
        <f>E24/ROUNDDOWN(D38,0)</f>
        <v>34.5</v>
      </c>
      <c r="E40" s="6">
        <f>IFERROR(D40,0)</f>
        <v>34.5</v>
      </c>
      <c r="F40" s="6">
        <f>ROUNDUP(E24*F28+E40,0)</f>
        <v>173</v>
      </c>
      <c r="G40" s="6"/>
      <c r="H40" s="6"/>
      <c r="I40" s="6"/>
      <c r="J40" s="6"/>
      <c r="K40" s="6"/>
      <c r="L40" s="6"/>
      <c r="M40" s="6"/>
      <c r="N40" s="6"/>
    </row>
    <row r="41" spans="1:14" x14ac:dyDescent="0.25">
      <c r="A41" s="6"/>
      <c r="B41" s="6"/>
      <c r="C41" s="6"/>
      <c r="D41" s="6"/>
      <c r="E41" s="6"/>
      <c r="F41" s="6"/>
      <c r="G41" s="6"/>
      <c r="H41" s="6"/>
      <c r="I41" s="6"/>
      <c r="J41" s="6"/>
      <c r="K41" s="6"/>
      <c r="L41" s="6"/>
      <c r="M41" s="6"/>
      <c r="N41" s="6"/>
    </row>
  </sheetData>
  <mergeCells count="2">
    <mergeCell ref="A14:A17"/>
    <mergeCell ref="A18:A21"/>
  </mergeCells>
  <dataValidations disablePrompts="1" count="1">
    <dataValidation type="list" allowBlank="1" showInputMessage="1" showErrorMessage="1" sqref="D1">
      <mc:AlternateContent xmlns:x12ac="http://schemas.microsoft.com/office/spreadsheetml/2011/1/ac" xmlns:mc="http://schemas.openxmlformats.org/markup-compatibility/2006">
        <mc:Choice Requires="x12ac">
          <x12ac:list>"0,14","0,17"</x12ac:list>
        </mc:Choice>
        <mc:Fallback>
          <formula1>"0,14,0,17"</formula1>
        </mc:Fallback>
      </mc:AlternateContent>
    </dataValidation>
  </dataValidations>
  <pageMargins left="0.7" right="0.7" top="0.78740157499999996" bottom="0.78740157499999996" header="0.3" footer="0.3"/>
  <pageSetup paperSize="9" orientation="portrait" verticalDpi="598"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zoomScaleNormal="100" workbookViewId="0">
      <selection activeCell="F8" sqref="F8"/>
    </sheetView>
  </sheetViews>
  <sheetFormatPr baseColWidth="10" defaultRowHeight="15" x14ac:dyDescent="0.25"/>
  <cols>
    <col min="1" max="1" width="13.5703125" bestFit="1" customWidth="1"/>
    <col min="2" max="2" width="21.7109375" bestFit="1" customWidth="1"/>
    <col min="3" max="3" width="12" bestFit="1" customWidth="1"/>
    <col min="6" max="6" width="18.5703125" bestFit="1" customWidth="1"/>
    <col min="9" max="10" width="14.28515625" bestFit="1" customWidth="1"/>
  </cols>
  <sheetData>
    <row r="1" spans="1:14" x14ac:dyDescent="0.25">
      <c r="A1" s="6" t="s">
        <v>0</v>
      </c>
      <c r="B1" s="7" t="s">
        <v>3</v>
      </c>
      <c r="C1" s="8" t="s">
        <v>1</v>
      </c>
      <c r="D1" s="9">
        <v>0.14000000000000001</v>
      </c>
      <c r="E1" s="6"/>
      <c r="F1" s="8" t="s">
        <v>11</v>
      </c>
      <c r="G1" s="10">
        <v>7.0000000000000001E-3</v>
      </c>
      <c r="H1" s="6"/>
      <c r="I1" s="11" t="s">
        <v>8</v>
      </c>
      <c r="J1" s="11" t="s">
        <v>15</v>
      </c>
      <c r="K1" s="12">
        <v>25</v>
      </c>
      <c r="L1" s="6"/>
      <c r="M1" s="6"/>
      <c r="N1" s="6"/>
    </row>
    <row r="2" spans="1:14" ht="15.75" thickBot="1" x14ac:dyDescent="0.3">
      <c r="A2" s="6"/>
      <c r="B2" s="13"/>
      <c r="C2" s="14" t="s">
        <v>2</v>
      </c>
      <c r="D2" s="15">
        <f>'1#KALKULATOR-CALCULATOR_NEW'!H5</f>
        <v>4</v>
      </c>
      <c r="E2" s="6"/>
      <c r="F2" s="16" t="s">
        <v>22</v>
      </c>
      <c r="G2" s="17">
        <v>4</v>
      </c>
      <c r="H2" s="6"/>
      <c r="I2" s="11"/>
      <c r="J2" s="11" t="s">
        <v>19</v>
      </c>
      <c r="K2" s="12">
        <v>100</v>
      </c>
      <c r="L2" s="6"/>
      <c r="M2" s="6"/>
      <c r="N2" s="6"/>
    </row>
    <row r="3" spans="1:14" ht="16.5" customHeight="1" thickBot="1" x14ac:dyDescent="0.3">
      <c r="A3" s="6"/>
      <c r="B3" s="6"/>
      <c r="C3" s="6"/>
      <c r="D3" s="6"/>
      <c r="E3" s="6"/>
      <c r="F3" s="14" t="s">
        <v>14</v>
      </c>
      <c r="G3" s="18">
        <v>0.42</v>
      </c>
      <c r="H3" s="6"/>
      <c r="I3" s="11"/>
      <c r="J3" s="11" t="s">
        <v>10</v>
      </c>
      <c r="K3" s="12">
        <v>25</v>
      </c>
      <c r="L3" s="6"/>
      <c r="M3" s="6"/>
      <c r="N3" s="6"/>
    </row>
    <row r="4" spans="1:14" x14ac:dyDescent="0.25">
      <c r="A4" s="6"/>
      <c r="B4" s="19" t="s">
        <v>4</v>
      </c>
      <c r="C4" s="20" t="s">
        <v>1</v>
      </c>
      <c r="D4" s="9">
        <f>'1#KALKULATOR-CALCULATOR_NEW'!H7</f>
        <v>10</v>
      </c>
      <c r="E4" s="6"/>
      <c r="F4" s="6" t="s">
        <v>27</v>
      </c>
      <c r="G4" s="6">
        <f>IF('1#KALKULATOR-CALCULATOR_NEW'!H10="WPC",0.36,0.46)</f>
        <v>0.36</v>
      </c>
      <c r="H4" s="6"/>
      <c r="I4" s="11"/>
      <c r="J4" s="11" t="s">
        <v>23</v>
      </c>
      <c r="K4" s="12">
        <v>100</v>
      </c>
      <c r="L4" s="6">
        <v>25</v>
      </c>
      <c r="M4" s="6">
        <v>20</v>
      </c>
      <c r="N4" s="6"/>
    </row>
    <row r="5" spans="1:14" ht="15.75" thickBot="1" x14ac:dyDescent="0.3">
      <c r="A5" s="6"/>
      <c r="B5" s="14"/>
      <c r="C5" s="21" t="s">
        <v>2</v>
      </c>
      <c r="D5" s="15">
        <f>'1#KALKULATOR-CALCULATOR_NEW'!H8</f>
        <v>10</v>
      </c>
      <c r="E5" s="6"/>
      <c r="F5" s="6"/>
      <c r="G5" s="6"/>
      <c r="H5" s="6"/>
      <c r="I5" s="11"/>
      <c r="J5" s="22" t="s">
        <v>16</v>
      </c>
      <c r="K5" s="12">
        <v>25</v>
      </c>
      <c r="L5" s="6"/>
      <c r="M5" s="6"/>
      <c r="N5" s="6"/>
    </row>
    <row r="6" spans="1:14" ht="15.75" thickBot="1" x14ac:dyDescent="0.3">
      <c r="A6" s="6"/>
      <c r="B6" s="23"/>
      <c r="C6" s="23"/>
      <c r="D6" s="24"/>
      <c r="E6" s="6"/>
      <c r="F6" s="6"/>
      <c r="G6" s="6"/>
      <c r="H6" s="6"/>
      <c r="I6" s="6"/>
      <c r="J6" s="22" t="s">
        <v>32</v>
      </c>
      <c r="K6" s="12">
        <v>20</v>
      </c>
      <c r="L6" s="6"/>
      <c r="M6" s="6"/>
      <c r="N6" s="6"/>
    </row>
    <row r="7" spans="1:14" x14ac:dyDescent="0.25">
      <c r="A7" s="6"/>
      <c r="B7" s="25" t="s">
        <v>17</v>
      </c>
      <c r="C7" s="26"/>
      <c r="D7" s="26"/>
      <c r="E7" s="27">
        <f>IF(D37&gt;0.54,E24*E28,(ROUNDUP(D26/D2*D28,0)))</f>
        <v>171</v>
      </c>
      <c r="F7" s="6" t="s">
        <v>6</v>
      </c>
      <c r="G7" s="6"/>
      <c r="H7" s="6">
        <f>29*4/0.35+12</f>
        <v>343.42857142857144</v>
      </c>
      <c r="I7" s="6">
        <f>H7/20</f>
        <v>17.171428571428571</v>
      </c>
      <c r="J7" s="22" t="s">
        <v>34</v>
      </c>
      <c r="K7" s="12">
        <v>20</v>
      </c>
      <c r="L7" s="6"/>
      <c r="M7" s="6"/>
      <c r="N7" s="6"/>
    </row>
    <row r="8" spans="1:14" x14ac:dyDescent="0.25">
      <c r="A8" s="6"/>
      <c r="B8" s="28" t="s">
        <v>18</v>
      </c>
      <c r="C8" s="29">
        <f>ROUNDUP((ROUNDUP((D5/D2),0)+(D5/G3))*D4,0)</f>
        <v>269</v>
      </c>
      <c r="D8" s="29" t="s">
        <v>5</v>
      </c>
      <c r="E8" s="31">
        <f>ROUNDUP(C8/G2,0)</f>
        <v>68</v>
      </c>
      <c r="F8" s="6" t="s">
        <v>6</v>
      </c>
      <c r="G8" s="6"/>
      <c r="H8" s="6"/>
      <c r="I8" s="6"/>
      <c r="J8" s="22" t="s">
        <v>33</v>
      </c>
      <c r="K8" s="12">
        <v>15</v>
      </c>
      <c r="L8" s="6"/>
      <c r="M8" s="6"/>
      <c r="N8" s="6"/>
    </row>
    <row r="9" spans="1:14" x14ac:dyDescent="0.25">
      <c r="A9" s="6"/>
      <c r="B9" s="28" t="s">
        <v>7</v>
      </c>
      <c r="C9" s="29">
        <f>E25*2</f>
        <v>53.61904761904762</v>
      </c>
      <c r="D9" s="29" t="s">
        <v>6</v>
      </c>
      <c r="E9" s="32">
        <f>ROUNDUP(C9/K1,0)</f>
        <v>3</v>
      </c>
      <c r="F9" s="6" t="s">
        <v>9</v>
      </c>
      <c r="G9" s="6"/>
      <c r="H9" s="6"/>
      <c r="I9" s="6"/>
      <c r="J9" s="46" t="s">
        <v>37</v>
      </c>
      <c r="K9" s="47">
        <v>20</v>
      </c>
      <c r="L9" s="6"/>
      <c r="M9" s="6"/>
      <c r="N9" s="6"/>
    </row>
    <row r="10" spans="1:14" x14ac:dyDescent="0.25">
      <c r="A10" s="6"/>
      <c r="B10" s="28" t="s">
        <v>25</v>
      </c>
      <c r="C10" s="29">
        <f>IF('1#KALKULATOR-CALCULATOR_NEW'!H10="WPC",0,D33*E25)</f>
        <v>0</v>
      </c>
      <c r="D10" s="29" t="s">
        <v>6</v>
      </c>
      <c r="E10" s="32">
        <f>ROUNDUP(C10/K5,0)</f>
        <v>0</v>
      </c>
      <c r="F10" s="6" t="s">
        <v>9</v>
      </c>
      <c r="G10" s="6"/>
      <c r="H10" s="6"/>
      <c r="I10" s="6"/>
      <c r="J10" s="6"/>
      <c r="K10" s="6"/>
      <c r="L10" s="6"/>
      <c r="M10" s="6"/>
      <c r="N10" s="6"/>
    </row>
    <row r="11" spans="1:14" x14ac:dyDescent="0.25">
      <c r="A11" s="6"/>
      <c r="B11" s="28" t="s">
        <v>19</v>
      </c>
      <c r="C11" s="29">
        <f>IF('1#KALKULATOR-CALCULATOR_NEW'!H10="WPC",E25*E24,E25*E24-C10)</f>
        <v>1849.8571428571429</v>
      </c>
      <c r="D11" s="29" t="s">
        <v>6</v>
      </c>
      <c r="E11" s="32">
        <f>ROUNDUP(C11/K2,0)</f>
        <v>19</v>
      </c>
      <c r="F11" s="6" t="s">
        <v>9</v>
      </c>
      <c r="G11" s="6"/>
      <c r="H11" s="6"/>
      <c r="I11" s="6"/>
      <c r="J11" s="6"/>
      <c r="K11" s="6"/>
      <c r="L11" s="6"/>
      <c r="M11" s="6"/>
      <c r="N11" s="6"/>
    </row>
    <row r="12" spans="1:14" x14ac:dyDescent="0.25">
      <c r="A12" s="6"/>
      <c r="B12" s="28" t="s">
        <v>26</v>
      </c>
      <c r="C12" s="29">
        <f>E8*4/G4+ROUNDUP(E25,0)</f>
        <v>782.55555555555554</v>
      </c>
      <c r="D12" s="29" t="s">
        <v>6</v>
      </c>
      <c r="E12" s="32">
        <f>IF(OR('1#KALKULATOR-CALCULATOR_NEW'!H12="GUMMI PADS",'1#KALKULATOR-CALCULATOR_NEW'!H12="RUBBER PADS"),ROUNDUP(C12/K4,0),IF(OR('1#KALKULATOR-CALCULATOR_NEW'!H12="30-50 Justierfuß",'1#KALKULATOR-CALCULATOR_NEW'!H12="30-50 Pedestal"),ROUNDUP(C12/L4,0),ROUNDUP(C12/M4,0)))</f>
        <v>40</v>
      </c>
      <c r="F12" s="6">
        <f>IF(OR('1#KALKULATOR-CALCULATOR_NEW'!H12="GUMMI PADS",'1#KALKULATOR-CALCULATOR_NEW'!H12="RUBBER PADS"),ROUNDUP(C22/K4,0),IF(OR('1#KALKULATOR-CALCULATOR_NEW'!H12="30-50 Justierfuß",'1#KALKULATOR-CALCULATOR_NEW'!H12="30-50 Pedestal"),ROUNDUP(C22/L4,0),ROUNDUP(C22/M4,0)))</f>
        <v>42</v>
      </c>
      <c r="G12" s="6"/>
      <c r="H12" s="6"/>
      <c r="I12" s="6"/>
      <c r="J12" s="6"/>
      <c r="K12" s="6"/>
      <c r="L12" s="6"/>
      <c r="M12" s="6"/>
      <c r="N12" s="6"/>
    </row>
    <row r="13" spans="1:14" x14ac:dyDescent="0.25">
      <c r="A13" s="6"/>
      <c r="B13" s="28" t="s">
        <v>10</v>
      </c>
      <c r="C13" s="29">
        <f>E24*2</f>
        <v>138</v>
      </c>
      <c r="D13" s="29" t="s">
        <v>6</v>
      </c>
      <c r="E13" s="32">
        <f>ROUNDUP(C13/K3,0)</f>
        <v>6</v>
      </c>
      <c r="F13" s="6" t="s">
        <v>9</v>
      </c>
      <c r="G13" s="6"/>
      <c r="H13" s="6"/>
      <c r="I13" s="6"/>
      <c r="J13" s="6"/>
      <c r="K13" s="6"/>
      <c r="L13" s="6"/>
      <c r="M13" s="6"/>
      <c r="N13" s="6"/>
    </row>
    <row r="14" spans="1:14" x14ac:dyDescent="0.25">
      <c r="A14" s="202" t="s">
        <v>35</v>
      </c>
      <c r="B14" s="28" t="s">
        <v>32</v>
      </c>
      <c r="C14" s="29">
        <f>E28*2*(ROUNDUP(5*((D4/G2)),0))</f>
        <v>78</v>
      </c>
      <c r="D14" s="29" t="s">
        <v>6</v>
      </c>
      <c r="E14" s="32">
        <f>ROUNDUP(C14/K6,0)</f>
        <v>4</v>
      </c>
      <c r="F14" s="6" t="s">
        <v>9</v>
      </c>
      <c r="G14" s="6"/>
      <c r="H14" s="6"/>
      <c r="I14" s="6"/>
      <c r="J14" s="6"/>
      <c r="K14" s="6"/>
      <c r="L14" s="6"/>
      <c r="M14" s="6">
        <f>(ROUNDUP(D5/G2,0)-1)*2</f>
        <v>4</v>
      </c>
      <c r="N14" s="6"/>
    </row>
    <row r="15" spans="1:14" x14ac:dyDescent="0.25">
      <c r="A15" s="202"/>
      <c r="B15" s="28" t="s">
        <v>34</v>
      </c>
      <c r="C15" s="29">
        <f>(ROUNDUP(D4/G2,0)-1)*(ROUNDUP(E25/2,0)+1)</f>
        <v>30</v>
      </c>
      <c r="D15" s="29" t="s">
        <v>6</v>
      </c>
      <c r="E15" s="32">
        <f>ROUNDUP(C15/K7,0)</f>
        <v>2</v>
      </c>
      <c r="F15" s="6" t="s">
        <v>9</v>
      </c>
      <c r="G15" s="6"/>
      <c r="H15" s="6"/>
      <c r="I15" s="6"/>
      <c r="J15" s="6"/>
      <c r="K15" s="6"/>
      <c r="L15" s="6"/>
      <c r="M15" s="6">
        <f>(ROUNDUP(D4/G2,0)-1)*E25</f>
        <v>53.61904761904762</v>
      </c>
      <c r="N15" s="6"/>
    </row>
    <row r="16" spans="1:14" x14ac:dyDescent="0.25">
      <c r="A16" s="202"/>
      <c r="B16" s="28" t="s">
        <v>33</v>
      </c>
      <c r="C16" s="29">
        <f>C14+C15</f>
        <v>108</v>
      </c>
      <c r="D16" s="29" t="s">
        <v>6</v>
      </c>
      <c r="E16" s="32">
        <f>ROUNDUP(C16/K8,0)</f>
        <v>8</v>
      </c>
      <c r="F16" s="6" t="s">
        <v>9</v>
      </c>
      <c r="G16" s="6"/>
      <c r="H16" s="6"/>
      <c r="I16" s="6"/>
      <c r="J16" s="6"/>
      <c r="K16" s="6"/>
      <c r="L16" s="6"/>
      <c r="M16" s="6"/>
      <c r="N16" s="6"/>
    </row>
    <row r="17" spans="1:16" x14ac:dyDescent="0.25">
      <c r="A17" s="202"/>
      <c r="B17" s="28" t="s">
        <v>38</v>
      </c>
      <c r="C17" s="29">
        <f>C15</f>
        <v>30</v>
      </c>
      <c r="D17" s="29" t="s">
        <v>6</v>
      </c>
      <c r="E17" s="32">
        <f>ROUNDUP(C17/K8,0)</f>
        <v>2</v>
      </c>
      <c r="F17" s="6" t="s">
        <v>9</v>
      </c>
      <c r="G17" s="6"/>
      <c r="H17" s="6"/>
      <c r="I17" s="6"/>
      <c r="J17" s="6"/>
      <c r="K17" s="6"/>
      <c r="L17" s="6"/>
      <c r="M17" s="6"/>
      <c r="N17" s="6"/>
    </row>
    <row r="18" spans="1:16" x14ac:dyDescent="0.25">
      <c r="A18" s="202"/>
      <c r="B18" s="28" t="s">
        <v>37</v>
      </c>
      <c r="C18" s="29">
        <f>C12</f>
        <v>782.55555555555554</v>
      </c>
      <c r="D18" s="29" t="s">
        <v>6</v>
      </c>
      <c r="E18" s="32">
        <f>ROUNDUP(C18/K9,0)</f>
        <v>40</v>
      </c>
      <c r="F18" s="6" t="s">
        <v>9</v>
      </c>
      <c r="G18" s="6"/>
      <c r="H18" s="6"/>
      <c r="I18" s="6"/>
      <c r="J18" s="6"/>
      <c r="K18" s="6"/>
      <c r="L18" s="6"/>
      <c r="M18" s="6"/>
      <c r="N18" s="6"/>
    </row>
    <row r="19" spans="1:16" x14ac:dyDescent="0.25">
      <c r="A19" s="203" t="s">
        <v>36</v>
      </c>
      <c r="B19" s="28" t="s">
        <v>32</v>
      </c>
      <c r="C19" s="29">
        <f>ROUNDUP(ROUNDUP(E25,0)/2,0)*2</f>
        <v>28</v>
      </c>
      <c r="D19" s="29" t="s">
        <v>6</v>
      </c>
      <c r="E19" s="32">
        <f>ROUNDUP(C19/K6,0)</f>
        <v>2</v>
      </c>
      <c r="F19" s="6" t="s">
        <v>9</v>
      </c>
      <c r="G19" s="6"/>
      <c r="H19" s="6"/>
      <c r="I19" s="6"/>
      <c r="J19" s="6"/>
      <c r="K19" s="6"/>
      <c r="L19" s="6"/>
      <c r="M19" s="6"/>
      <c r="N19" s="6"/>
    </row>
    <row r="20" spans="1:16" x14ac:dyDescent="0.25">
      <c r="A20" s="203"/>
      <c r="B20" s="28" t="s">
        <v>34</v>
      </c>
      <c r="C20" s="29">
        <f>(ROUNDUP(ROUNDUP(E25,0)/2,0)+1)*(E28-1)+ROUNDUP(D5/G2,0)-1+ROUNDUP(D5/G2,0)-1</f>
        <v>34</v>
      </c>
      <c r="D20" s="29" t="s">
        <v>6</v>
      </c>
      <c r="E20" s="32">
        <f>ROUNDUP(C20/K7,0)</f>
        <v>2</v>
      </c>
      <c r="F20" s="6" t="s">
        <v>9</v>
      </c>
      <c r="G20" s="6"/>
      <c r="H20" s="6"/>
      <c r="I20" s="6"/>
      <c r="J20" s="6"/>
      <c r="K20" s="6"/>
      <c r="L20" s="6"/>
      <c r="M20" s="6"/>
      <c r="N20" s="6"/>
    </row>
    <row r="21" spans="1:16" x14ac:dyDescent="0.25">
      <c r="A21" s="203"/>
      <c r="B21" s="28" t="s">
        <v>33</v>
      </c>
      <c r="C21" s="29">
        <f>C19+C20</f>
        <v>62</v>
      </c>
      <c r="D21" s="29" t="s">
        <v>6</v>
      </c>
      <c r="E21" s="32">
        <f>ROUNDUP(C21/K8,0)</f>
        <v>5</v>
      </c>
      <c r="F21" s="6" t="s">
        <v>9</v>
      </c>
      <c r="G21" s="6"/>
      <c r="H21" s="6"/>
      <c r="I21" s="6"/>
      <c r="J21" s="6"/>
      <c r="K21" s="6"/>
      <c r="L21" s="6"/>
      <c r="M21" s="6"/>
      <c r="N21" s="6"/>
    </row>
    <row r="22" spans="1:16" ht="15.75" thickBot="1" x14ac:dyDescent="0.3">
      <c r="A22" s="203"/>
      <c r="B22" s="36" t="s">
        <v>37</v>
      </c>
      <c r="C22" s="37">
        <f>C18+ROUNDUP(D5*2/G4,0)</f>
        <v>838.55555555555554</v>
      </c>
      <c r="D22" s="37" t="s">
        <v>6</v>
      </c>
      <c r="E22" s="38">
        <f>ROUNDUP(C22/K9,0)</f>
        <v>42</v>
      </c>
      <c r="F22" s="6" t="s">
        <v>9</v>
      </c>
      <c r="G22" s="6"/>
      <c r="H22" s="6"/>
      <c r="I22" s="6"/>
      <c r="J22" s="6"/>
      <c r="K22" s="6"/>
      <c r="L22" s="6"/>
      <c r="M22" s="6"/>
      <c r="N22" s="6"/>
    </row>
    <row r="23" spans="1:16" x14ac:dyDescent="0.25">
      <c r="A23" s="6"/>
      <c r="B23" s="6"/>
      <c r="C23" s="6"/>
      <c r="D23" s="6"/>
      <c r="E23" s="6"/>
      <c r="F23" s="6"/>
      <c r="G23" s="6"/>
      <c r="H23" s="6"/>
      <c r="I23" s="6"/>
      <c r="J23" s="6"/>
      <c r="K23" s="6"/>
      <c r="L23" s="6"/>
      <c r="M23" s="6"/>
      <c r="N23" s="6"/>
    </row>
    <row r="24" spans="1:16" x14ac:dyDescent="0.25">
      <c r="A24" s="6"/>
      <c r="B24" s="6" t="s">
        <v>20</v>
      </c>
      <c r="C24" s="6"/>
      <c r="D24" s="6">
        <f>D4/(D1+G1)</f>
        <v>68.027210884353735</v>
      </c>
      <c r="E24" s="6">
        <f>ROUNDUP(D24,0)</f>
        <v>69</v>
      </c>
      <c r="F24" s="6"/>
      <c r="G24" s="6"/>
      <c r="H24" s="6"/>
      <c r="I24" s="6"/>
      <c r="J24" s="6"/>
      <c r="K24" s="6"/>
      <c r="L24" s="6"/>
      <c r="M24" s="6"/>
      <c r="N24" s="6"/>
      <c r="O24">
        <f>27/2</f>
        <v>13.5</v>
      </c>
      <c r="P24">
        <v>15</v>
      </c>
    </row>
    <row r="25" spans="1:16" x14ac:dyDescent="0.25">
      <c r="A25" s="6"/>
      <c r="B25" s="6" t="s">
        <v>21</v>
      </c>
      <c r="C25" s="6"/>
      <c r="D25" s="6"/>
      <c r="E25" s="6">
        <f>(ROUNDUP((D5/D2),0)+(D5/G3))</f>
        <v>26.80952380952381</v>
      </c>
      <c r="F25" s="6">
        <f>(D4/G2)</f>
        <v>2.5</v>
      </c>
      <c r="G25" s="6"/>
      <c r="H25" s="6"/>
      <c r="I25" s="6"/>
      <c r="J25" s="6"/>
      <c r="K25" s="6"/>
      <c r="L25" s="6"/>
      <c r="M25" s="6"/>
      <c r="N25" s="6"/>
    </row>
    <row r="26" spans="1:16" x14ac:dyDescent="0.25">
      <c r="A26" s="6"/>
      <c r="B26" s="6" t="s">
        <v>5</v>
      </c>
      <c r="C26" s="6"/>
      <c r="D26" s="6">
        <f>D24*D2</f>
        <v>272.10884353741494</v>
      </c>
      <c r="E26" s="6"/>
      <c r="F26" s="6"/>
      <c r="G26" s="6"/>
      <c r="H26" s="6"/>
      <c r="I26" s="6"/>
      <c r="J26" s="6"/>
      <c r="K26" s="6"/>
      <c r="L26" s="6"/>
      <c r="M26" s="6"/>
      <c r="N26" s="6"/>
    </row>
    <row r="27" spans="1:16" x14ac:dyDescent="0.25">
      <c r="A27" s="6"/>
      <c r="B27" s="6"/>
      <c r="C27" s="6"/>
      <c r="D27" s="6"/>
      <c r="E27" s="6"/>
      <c r="F27" s="6"/>
      <c r="G27" s="6"/>
      <c r="H27" s="6"/>
      <c r="I27" s="6"/>
      <c r="J27" s="6"/>
      <c r="K27" s="6"/>
      <c r="L27" s="6"/>
      <c r="M27" s="6"/>
      <c r="N27" s="6"/>
    </row>
    <row r="28" spans="1:16" x14ac:dyDescent="0.25">
      <c r="A28" s="6"/>
      <c r="B28" s="6" t="s">
        <v>13</v>
      </c>
      <c r="C28" s="6"/>
      <c r="D28" s="6">
        <f>D5/D2</f>
        <v>2.5</v>
      </c>
      <c r="E28" s="6">
        <f>ROUNDUP(D28,0)</f>
        <v>3</v>
      </c>
      <c r="F28" s="6">
        <f>ROUNDDOWN(D28,0)</f>
        <v>2</v>
      </c>
      <c r="G28" s="6"/>
      <c r="H28" s="6"/>
      <c r="I28" s="6"/>
      <c r="J28" s="6"/>
      <c r="K28" s="6"/>
      <c r="L28" s="6"/>
      <c r="M28" s="6"/>
      <c r="N28" s="6"/>
    </row>
    <row r="29" spans="1:16" x14ac:dyDescent="0.25">
      <c r="A29" s="6"/>
      <c r="B29" s="6" t="s">
        <v>12</v>
      </c>
      <c r="C29" s="6"/>
      <c r="D29" s="6">
        <f>E28-D28</f>
        <v>0.5</v>
      </c>
      <c r="E29" s="6">
        <f>D26*D29</f>
        <v>136.05442176870747</v>
      </c>
      <c r="F29" s="6"/>
      <c r="G29" s="6"/>
      <c r="H29" s="6"/>
      <c r="I29" s="6"/>
      <c r="J29" s="6"/>
      <c r="K29" s="6"/>
      <c r="L29" s="6"/>
      <c r="M29" s="6"/>
      <c r="N29" s="6"/>
    </row>
    <row r="30" spans="1:16" x14ac:dyDescent="0.25">
      <c r="A30" s="6"/>
      <c r="B30" s="6"/>
      <c r="C30" s="6"/>
      <c r="D30" s="6"/>
      <c r="E30" s="6"/>
      <c r="F30" s="6"/>
      <c r="G30" s="6"/>
      <c r="H30" s="6"/>
      <c r="I30" s="6"/>
      <c r="J30" s="6"/>
      <c r="K30" s="6"/>
      <c r="L30" s="6"/>
      <c r="M30" s="6"/>
      <c r="N30" s="6"/>
    </row>
    <row r="31" spans="1:16" x14ac:dyDescent="0.25">
      <c r="A31" s="6"/>
      <c r="B31" s="6"/>
      <c r="C31" s="6"/>
      <c r="D31" s="6">
        <f>D5/G3</f>
        <v>23.80952380952381</v>
      </c>
      <c r="E31" s="6"/>
      <c r="F31" s="6"/>
      <c r="G31" s="6"/>
      <c r="H31" s="6"/>
      <c r="I31" s="6"/>
      <c r="J31" s="6"/>
      <c r="K31" s="6"/>
      <c r="L31" s="6"/>
      <c r="M31" s="6"/>
      <c r="N31" s="6"/>
    </row>
    <row r="32" spans="1:16" x14ac:dyDescent="0.25">
      <c r="A32" s="6"/>
      <c r="B32" s="6"/>
      <c r="C32" s="6"/>
      <c r="D32" s="6"/>
      <c r="E32" s="6"/>
      <c r="F32" s="6"/>
      <c r="G32" s="6"/>
      <c r="H32" s="6"/>
      <c r="I32" s="6"/>
      <c r="J32" s="6"/>
      <c r="K32" s="6"/>
      <c r="L32" s="6"/>
      <c r="M32" s="6"/>
      <c r="N32" s="6"/>
    </row>
    <row r="33" spans="1:14" x14ac:dyDescent="0.25">
      <c r="A33" s="6"/>
      <c r="B33" s="6" t="s">
        <v>24</v>
      </c>
      <c r="C33" s="6"/>
      <c r="D33" s="6">
        <f>ROUNDUP(D4/2,0)-1</f>
        <v>4</v>
      </c>
      <c r="E33" s="6"/>
      <c r="F33" s="6"/>
      <c r="G33" s="6"/>
      <c r="H33" s="6"/>
      <c r="I33" s="6"/>
      <c r="J33" s="6"/>
      <c r="K33" s="6"/>
      <c r="L33" s="6"/>
      <c r="M33" s="6"/>
      <c r="N33" s="6"/>
    </row>
    <row r="34" spans="1:14" x14ac:dyDescent="0.25">
      <c r="A34" s="6"/>
      <c r="B34" s="6"/>
      <c r="C34" s="6"/>
      <c r="D34" s="6"/>
      <c r="E34" s="6"/>
      <c r="F34" s="6"/>
      <c r="G34" s="6"/>
      <c r="H34" s="6"/>
      <c r="I34" s="6"/>
      <c r="J34" s="6"/>
      <c r="K34" s="6"/>
      <c r="L34" s="6"/>
      <c r="M34" s="6"/>
      <c r="N34" s="6"/>
    </row>
    <row r="35" spans="1:14" x14ac:dyDescent="0.25">
      <c r="A35" s="6"/>
      <c r="B35" s="6"/>
      <c r="C35" s="6"/>
      <c r="D35" s="6"/>
      <c r="E35" s="6">
        <f>ROUNDUP(E24*F28+D40,0)</f>
        <v>173</v>
      </c>
      <c r="F35" s="6"/>
      <c r="G35" s="6"/>
      <c r="H35" s="6"/>
      <c r="I35" s="6"/>
      <c r="J35" s="6"/>
      <c r="K35" s="6"/>
      <c r="L35" s="6"/>
      <c r="M35" s="6"/>
      <c r="N35" s="6"/>
    </row>
    <row r="36" spans="1:14" x14ac:dyDescent="0.25">
      <c r="A36" s="6"/>
      <c r="B36" s="6"/>
      <c r="C36" s="6"/>
      <c r="D36" s="6"/>
      <c r="E36" s="6"/>
      <c r="F36" s="6"/>
      <c r="G36" s="6"/>
      <c r="H36" s="6"/>
      <c r="I36" s="6"/>
      <c r="J36" s="6"/>
      <c r="K36" s="6"/>
      <c r="L36" s="6"/>
      <c r="M36" s="6"/>
      <c r="N36" s="6"/>
    </row>
    <row r="37" spans="1:14" x14ac:dyDescent="0.25">
      <c r="A37" s="6"/>
      <c r="B37" s="6"/>
      <c r="C37" s="6"/>
      <c r="D37" s="6">
        <f>D28-ROUNDDOWN(D28,0)</f>
        <v>0.5</v>
      </c>
      <c r="E37" s="6"/>
      <c r="F37" s="6"/>
      <c r="G37" s="6"/>
      <c r="H37" s="6"/>
      <c r="I37" s="6"/>
      <c r="J37" s="6"/>
      <c r="K37" s="6"/>
      <c r="L37" s="6"/>
      <c r="M37" s="6"/>
      <c r="N37" s="6"/>
    </row>
    <row r="38" spans="1:14" x14ac:dyDescent="0.25">
      <c r="A38" s="6"/>
      <c r="B38" s="6"/>
      <c r="C38" s="6"/>
      <c r="D38" s="6">
        <f>1/D37</f>
        <v>2</v>
      </c>
      <c r="E38" s="6">
        <f>E24/D38</f>
        <v>34.5</v>
      </c>
      <c r="F38" s="6"/>
      <c r="G38" s="6"/>
      <c r="H38" s="6"/>
      <c r="I38" s="6"/>
      <c r="J38" s="6"/>
      <c r="K38" s="6"/>
      <c r="L38" s="6"/>
      <c r="M38" s="6"/>
      <c r="N38" s="6"/>
    </row>
    <row r="39" spans="1:14" x14ac:dyDescent="0.25">
      <c r="A39" s="6"/>
      <c r="B39" s="6"/>
      <c r="C39" s="6"/>
      <c r="D39" s="6"/>
      <c r="E39" s="6"/>
      <c r="F39" s="6"/>
      <c r="G39" s="6"/>
      <c r="H39" s="6"/>
      <c r="I39" s="6"/>
      <c r="J39" s="6"/>
      <c r="K39" s="6"/>
      <c r="L39" s="6"/>
      <c r="M39" s="6"/>
      <c r="N39" s="6"/>
    </row>
    <row r="40" spans="1:14" x14ac:dyDescent="0.25">
      <c r="A40" s="6"/>
      <c r="B40" s="6"/>
      <c r="C40" s="6"/>
      <c r="D40" s="6">
        <f>E24/ROUNDDOWN(D38,0)</f>
        <v>34.5</v>
      </c>
      <c r="E40" s="6">
        <f>IFERROR(D40,0)</f>
        <v>34.5</v>
      </c>
      <c r="F40" s="6">
        <f>ROUNDUP(E24*F28+E40,0)</f>
        <v>173</v>
      </c>
      <c r="G40" s="6"/>
      <c r="H40" s="6"/>
      <c r="I40" s="6"/>
      <c r="J40" s="6"/>
      <c r="K40" s="6"/>
      <c r="L40" s="6"/>
      <c r="M40" s="6"/>
      <c r="N40" s="6"/>
    </row>
    <row r="41" spans="1:14" x14ac:dyDescent="0.25">
      <c r="A41" s="6"/>
      <c r="B41" s="6"/>
      <c r="C41" s="6"/>
      <c r="D41" s="6"/>
      <c r="E41" s="6"/>
      <c r="F41" s="6"/>
      <c r="G41" s="6"/>
      <c r="H41" s="6"/>
      <c r="I41" s="6"/>
      <c r="J41" s="6"/>
      <c r="K41" s="6"/>
      <c r="L41" s="6"/>
      <c r="M41" s="6"/>
      <c r="N41" s="6"/>
    </row>
  </sheetData>
  <mergeCells count="2">
    <mergeCell ref="A14:A18"/>
    <mergeCell ref="A19:A22"/>
  </mergeCells>
  <dataValidations disablePrompts="1" count="1">
    <dataValidation type="list" allowBlank="1" showInputMessage="1" showErrorMessage="1" sqref="D1">
      <mc:AlternateContent xmlns:x12ac="http://schemas.microsoft.com/office/spreadsheetml/2011/1/ac" xmlns:mc="http://schemas.openxmlformats.org/markup-compatibility/2006">
        <mc:Choice Requires="x12ac">
          <x12ac:list>"0,14","0,17"</x12ac:list>
        </mc:Choice>
        <mc:Fallback>
          <formula1>"0,14,0,17"</formula1>
        </mc:Fallback>
      </mc:AlternateContent>
    </dataValidation>
  </dataValidations>
  <pageMargins left="0.7" right="0.7" top="0.78740157499999996" bottom="0.78740157499999996" header="0.3" footer="0.3"/>
  <pageSetup paperSize="9" orientation="portrait" verticalDpi="598"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N41"/>
  <sheetViews>
    <sheetView zoomScaleNormal="100" workbookViewId="0">
      <selection activeCell="G6" sqref="G6"/>
    </sheetView>
  </sheetViews>
  <sheetFormatPr baseColWidth="10" defaultRowHeight="15" x14ac:dyDescent="0.25"/>
  <cols>
    <col min="1" max="1" width="13.5703125" bestFit="1" customWidth="1"/>
    <col min="2" max="2" width="21.7109375" bestFit="1" customWidth="1"/>
    <col min="6" max="6" width="18.5703125" bestFit="1" customWidth="1"/>
    <col min="9" max="10" width="14.28515625" bestFit="1" customWidth="1"/>
  </cols>
  <sheetData>
    <row r="1" spans="1:14" x14ac:dyDescent="0.25">
      <c r="A1" s="6" t="s">
        <v>0</v>
      </c>
      <c r="B1" s="7" t="s">
        <v>3</v>
      </c>
      <c r="C1" s="8" t="s">
        <v>1</v>
      </c>
      <c r="D1" s="9">
        <v>0.17</v>
      </c>
      <c r="E1" s="6"/>
      <c r="F1" s="8" t="s">
        <v>11</v>
      </c>
      <c r="G1" s="10">
        <v>7.0000000000000001E-3</v>
      </c>
      <c r="H1" s="6"/>
      <c r="I1" s="11" t="s">
        <v>8</v>
      </c>
      <c r="J1" s="11" t="s">
        <v>15</v>
      </c>
      <c r="K1" s="12">
        <v>25</v>
      </c>
      <c r="L1" s="6"/>
      <c r="M1" s="6"/>
      <c r="N1" s="6"/>
    </row>
    <row r="2" spans="1:14" ht="15.75" thickBot="1" x14ac:dyDescent="0.3">
      <c r="A2" s="6"/>
      <c r="B2" s="13"/>
      <c r="C2" s="14" t="s">
        <v>2</v>
      </c>
      <c r="D2" s="15">
        <f>'1#KALKULATOR-CALCULATOR_NEW'!H5</f>
        <v>4</v>
      </c>
      <c r="E2" s="6"/>
      <c r="F2" s="16" t="s">
        <v>22</v>
      </c>
      <c r="G2" s="17">
        <v>4</v>
      </c>
      <c r="H2" s="6"/>
      <c r="I2" s="11"/>
      <c r="J2" s="11" t="s">
        <v>19</v>
      </c>
      <c r="K2" s="12">
        <v>100</v>
      </c>
      <c r="L2" s="6"/>
      <c r="M2" s="6"/>
      <c r="N2" s="6"/>
    </row>
    <row r="3" spans="1:14" ht="16.5" customHeight="1" thickBot="1" x14ac:dyDescent="0.3">
      <c r="A3" s="6"/>
      <c r="B3" s="6"/>
      <c r="C3" s="6"/>
      <c r="D3" s="6"/>
      <c r="E3" s="6"/>
      <c r="F3" s="14" t="s">
        <v>14</v>
      </c>
      <c r="G3" s="18">
        <v>0.42</v>
      </c>
      <c r="H3" s="6"/>
      <c r="I3" s="11"/>
      <c r="J3" s="11" t="s">
        <v>10</v>
      </c>
      <c r="K3" s="12">
        <v>25</v>
      </c>
      <c r="L3" s="6"/>
      <c r="M3" s="6"/>
      <c r="N3" s="6"/>
    </row>
    <row r="4" spans="1:14" x14ac:dyDescent="0.25">
      <c r="A4" s="6"/>
      <c r="B4" s="19" t="s">
        <v>4</v>
      </c>
      <c r="C4" s="20" t="s">
        <v>1</v>
      </c>
      <c r="D4" s="9">
        <f>'1#KALKULATOR-CALCULATOR_NEW'!H7</f>
        <v>10</v>
      </c>
      <c r="E4" s="6"/>
      <c r="F4" s="6" t="s">
        <v>27</v>
      </c>
      <c r="G4" s="6">
        <f>IF('1#KALKULATOR-CALCULATOR_NEW'!H10="WPC",0.36,0.46)</f>
        <v>0.36</v>
      </c>
      <c r="H4" s="6"/>
      <c r="I4" s="11"/>
      <c r="J4" s="11" t="s">
        <v>23</v>
      </c>
      <c r="K4" s="12">
        <v>100</v>
      </c>
      <c r="L4" s="6">
        <v>25</v>
      </c>
      <c r="M4" s="6">
        <v>20</v>
      </c>
      <c r="N4" s="6"/>
    </row>
    <row r="5" spans="1:14" ht="15.75" thickBot="1" x14ac:dyDescent="0.3">
      <c r="A5" s="6"/>
      <c r="B5" s="14"/>
      <c r="C5" s="21" t="s">
        <v>2</v>
      </c>
      <c r="D5" s="15">
        <f>'1#KALKULATOR-CALCULATOR_NEW'!H8</f>
        <v>10</v>
      </c>
      <c r="E5" s="6"/>
      <c r="F5" s="6"/>
      <c r="G5" s="6"/>
      <c r="H5" s="6"/>
      <c r="I5" s="11"/>
      <c r="J5" s="22" t="s">
        <v>16</v>
      </c>
      <c r="K5" s="12">
        <v>25</v>
      </c>
      <c r="L5" s="6"/>
      <c r="M5" s="6"/>
      <c r="N5" s="6"/>
    </row>
    <row r="6" spans="1:14" ht="15.75" thickBot="1" x14ac:dyDescent="0.3">
      <c r="A6" s="6"/>
      <c r="B6" s="23"/>
      <c r="C6" s="23"/>
      <c r="D6" s="24"/>
      <c r="E6" s="6"/>
      <c r="F6" s="6"/>
      <c r="G6" s="6"/>
      <c r="H6" s="6"/>
      <c r="I6" s="6"/>
      <c r="J6" s="22" t="s">
        <v>32</v>
      </c>
      <c r="K6" s="12">
        <v>20</v>
      </c>
      <c r="L6" s="6"/>
      <c r="M6" s="6"/>
      <c r="N6" s="6"/>
    </row>
    <row r="7" spans="1:14" x14ac:dyDescent="0.25">
      <c r="A7" s="6"/>
      <c r="B7" s="25" t="s">
        <v>17</v>
      </c>
      <c r="C7" s="26"/>
      <c r="D7" s="26"/>
      <c r="E7" s="27">
        <f>IF(D37&gt;0.54,E24*E28,(ROUNDUP(D26/D2*D28,0)))</f>
        <v>142</v>
      </c>
      <c r="F7" s="6" t="s">
        <v>6</v>
      </c>
      <c r="G7" s="6"/>
      <c r="H7" s="6">
        <f>29*4/0.35+12</f>
        <v>343.42857142857144</v>
      </c>
      <c r="I7" s="6">
        <f>H7/20</f>
        <v>17.171428571428571</v>
      </c>
      <c r="J7" s="22" t="s">
        <v>34</v>
      </c>
      <c r="K7" s="12">
        <v>20</v>
      </c>
      <c r="L7" s="6"/>
      <c r="M7" s="6"/>
      <c r="N7" s="6"/>
    </row>
    <row r="8" spans="1:14" x14ac:dyDescent="0.25">
      <c r="A8" s="6"/>
      <c r="B8" s="28" t="s">
        <v>18</v>
      </c>
      <c r="C8" s="29">
        <f>ROUNDUP((ROUNDUP((D5/D2),0)+(D5/G3))*D4,0)</f>
        <v>269</v>
      </c>
      <c r="D8" s="29" t="s">
        <v>5</v>
      </c>
      <c r="E8" s="31">
        <f>ROUNDUP(C8/G2,0)</f>
        <v>68</v>
      </c>
      <c r="F8" s="6" t="s">
        <v>6</v>
      </c>
      <c r="G8" s="6"/>
      <c r="H8" s="6"/>
      <c r="I8" s="6"/>
      <c r="J8" s="22" t="s">
        <v>33</v>
      </c>
      <c r="K8" s="12">
        <v>15</v>
      </c>
      <c r="L8" s="6"/>
      <c r="M8" s="6"/>
      <c r="N8" s="6"/>
    </row>
    <row r="9" spans="1:14" x14ac:dyDescent="0.25">
      <c r="A9" s="6"/>
      <c r="B9" s="28" t="s">
        <v>7</v>
      </c>
      <c r="C9" s="29">
        <f>E25*2</f>
        <v>53.61904761904762</v>
      </c>
      <c r="D9" s="29" t="s">
        <v>6</v>
      </c>
      <c r="E9" s="32">
        <f>ROUNDUP(C9/K1,0)</f>
        <v>3</v>
      </c>
      <c r="F9" s="6" t="s">
        <v>9</v>
      </c>
      <c r="G9" s="6"/>
      <c r="H9" s="6"/>
      <c r="I9" s="6"/>
      <c r="J9" s="46" t="s">
        <v>37</v>
      </c>
      <c r="K9" s="47">
        <v>20</v>
      </c>
      <c r="L9" s="6"/>
      <c r="M9" s="6"/>
      <c r="N9" s="6"/>
    </row>
    <row r="10" spans="1:14" x14ac:dyDescent="0.25">
      <c r="A10" s="6"/>
      <c r="B10" s="28" t="s">
        <v>25</v>
      </c>
      <c r="C10" s="29">
        <f>IF('1#KALKULATOR-CALCULATOR_NEW'!H10="WPC",0,D33*E25)</f>
        <v>0</v>
      </c>
      <c r="D10" s="29" t="s">
        <v>6</v>
      </c>
      <c r="E10" s="32">
        <f>ROUNDUP(C10/K5,0)</f>
        <v>0</v>
      </c>
      <c r="F10" s="6" t="s">
        <v>9</v>
      </c>
      <c r="G10" s="6"/>
      <c r="H10" s="6"/>
      <c r="I10" s="6"/>
      <c r="J10" s="46" t="s">
        <v>47</v>
      </c>
      <c r="K10" s="47">
        <v>15</v>
      </c>
      <c r="L10" s="6"/>
      <c r="M10" s="6"/>
      <c r="N10" s="6"/>
    </row>
    <row r="11" spans="1:14" x14ac:dyDescent="0.25">
      <c r="A11" s="6"/>
      <c r="B11" s="28" t="s">
        <v>19</v>
      </c>
      <c r="C11" s="29">
        <f>IF('1#KALKULATOR-CALCULATOR_NEW'!H10="WPC",E25*E24,E25*E24-C10)</f>
        <v>1528.1428571428571</v>
      </c>
      <c r="D11" s="29" t="s">
        <v>6</v>
      </c>
      <c r="E11" s="32">
        <f>ROUNDUP(C11/K2,0)</f>
        <v>16</v>
      </c>
      <c r="F11" s="6" t="s">
        <v>9</v>
      </c>
      <c r="G11" s="6"/>
      <c r="H11" s="6"/>
      <c r="I11" s="6"/>
      <c r="J11" s="6"/>
      <c r="K11" s="6"/>
      <c r="L11" s="6"/>
      <c r="M11" s="6"/>
      <c r="N11" s="6"/>
    </row>
    <row r="12" spans="1:14" x14ac:dyDescent="0.25">
      <c r="A12" s="6"/>
      <c r="B12" s="28" t="s">
        <v>26</v>
      </c>
      <c r="C12" s="29">
        <f>E8*4/G4+ROUNDUP(E25,0)</f>
        <v>782.55555555555554</v>
      </c>
      <c r="D12" s="29" t="s">
        <v>6</v>
      </c>
      <c r="E12" s="32">
        <f>IF(OR('1#KALKULATOR-CALCULATOR_NEW'!H12="GUMMI PADS",'1#KALKULATOR-CALCULATOR_NEW'!H12="RUBBER PADS"),ROUNDUP(C12/K4,0),IF(OR('1#KALKULATOR-CALCULATOR_NEW'!H12="30-50 Justierfuß",'1#KALKULATOR-CALCULATOR_NEW'!H12="30-50 Pedestal"),ROUNDUP(C12/L4,0),ROUNDUP(C12/M4,0)))</f>
        <v>40</v>
      </c>
      <c r="F12" s="6">
        <f>IF(OR('1#KALKULATOR-CALCULATOR_NEW'!H12="GUMMI PADS",'1#KALKULATOR-CALCULATOR_NEW'!H12="RUBBER PADS"),ROUNDUP(C22/K4,0),IF(OR('1#KALKULATOR-CALCULATOR_NEW'!H12="30-50 Justierfuß",'1#KALKULATOR-CALCULATOR_NEW'!H12="30-50 Pedestal"),ROUNDUP(C22/L4,0),ROUNDUP(C22/M4,0)))</f>
        <v>42</v>
      </c>
      <c r="G12" s="6"/>
      <c r="H12" s="6"/>
      <c r="I12" s="6"/>
      <c r="J12" s="6"/>
      <c r="K12" s="6"/>
      <c r="L12" s="6"/>
      <c r="M12" s="6"/>
      <c r="N12" s="6"/>
    </row>
    <row r="13" spans="1:14" x14ac:dyDescent="0.25">
      <c r="A13" s="6"/>
      <c r="B13" s="28" t="s">
        <v>10</v>
      </c>
      <c r="C13" s="29">
        <f>E24*2</f>
        <v>114</v>
      </c>
      <c r="D13" s="29" t="s">
        <v>6</v>
      </c>
      <c r="E13" s="32">
        <f>ROUNDUP(C13/K3,0)</f>
        <v>5</v>
      </c>
      <c r="F13" s="6" t="s">
        <v>9</v>
      </c>
      <c r="G13" s="6"/>
      <c r="H13" s="6"/>
      <c r="I13" s="6"/>
      <c r="J13" s="6"/>
      <c r="K13" s="6"/>
      <c r="L13" s="6"/>
      <c r="M13" s="6"/>
      <c r="N13" s="6"/>
    </row>
    <row r="14" spans="1:14" x14ac:dyDescent="0.25">
      <c r="A14" s="202" t="s">
        <v>35</v>
      </c>
      <c r="B14" s="28" t="s">
        <v>32</v>
      </c>
      <c r="C14" s="29">
        <f>E28*2*(ROUNDUP(5*((D4/G2)),0))</f>
        <v>78</v>
      </c>
      <c r="D14" s="29" t="s">
        <v>6</v>
      </c>
      <c r="E14" s="32">
        <f>ROUNDUP(C14/K6,0)</f>
        <v>4</v>
      </c>
      <c r="F14" s="6" t="s">
        <v>9</v>
      </c>
      <c r="G14" s="6"/>
      <c r="H14" s="6"/>
      <c r="I14" s="6"/>
      <c r="J14" s="6"/>
      <c r="K14" s="6"/>
      <c r="L14" s="6"/>
      <c r="M14" s="6">
        <f>(ROUNDUP(D5/G2,0)-1)*2</f>
        <v>4</v>
      </c>
      <c r="N14" s="6"/>
    </row>
    <row r="15" spans="1:14" x14ac:dyDescent="0.25">
      <c r="A15" s="202"/>
      <c r="B15" s="28" t="s">
        <v>34</v>
      </c>
      <c r="C15" s="29">
        <f>(ROUNDUP(D4/G2,0)-1)*(ROUNDUP(E25/2,0)+1)</f>
        <v>30</v>
      </c>
      <c r="D15" s="29" t="s">
        <v>6</v>
      </c>
      <c r="E15" s="32">
        <f>ROUNDUP(C15/K7,0)</f>
        <v>2</v>
      </c>
      <c r="F15" s="6" t="s">
        <v>9</v>
      </c>
      <c r="G15" s="6"/>
      <c r="H15" s="6"/>
      <c r="I15" s="6"/>
      <c r="J15" s="6"/>
      <c r="K15" s="6"/>
      <c r="L15" s="6"/>
      <c r="M15" s="6">
        <f>(ROUNDUP(D4/G2,0)-1)*E25</f>
        <v>53.61904761904762</v>
      </c>
      <c r="N15" s="6"/>
    </row>
    <row r="16" spans="1:14" x14ac:dyDescent="0.25">
      <c r="A16" s="202"/>
      <c r="B16" s="28" t="s">
        <v>33</v>
      </c>
      <c r="C16" s="29">
        <f>C14+C15</f>
        <v>108</v>
      </c>
      <c r="D16" s="29" t="s">
        <v>6</v>
      </c>
      <c r="E16" s="32">
        <f>ROUNDUP(C16/K8,0)</f>
        <v>8</v>
      </c>
      <c r="F16" s="6" t="s">
        <v>9</v>
      </c>
      <c r="G16" s="6"/>
      <c r="H16" s="6"/>
      <c r="I16" s="6"/>
      <c r="J16" s="6"/>
      <c r="K16" s="6"/>
      <c r="L16" s="6"/>
      <c r="M16" s="6"/>
      <c r="N16" s="6"/>
    </row>
    <row r="17" spans="1:14" x14ac:dyDescent="0.25">
      <c r="A17" s="202"/>
      <c r="B17" s="28" t="s">
        <v>38</v>
      </c>
      <c r="C17" s="29">
        <f>C15</f>
        <v>30</v>
      </c>
      <c r="D17" s="29" t="s">
        <v>6</v>
      </c>
      <c r="E17" s="32">
        <f>ROUNDUP(C17/K8,0)</f>
        <v>2</v>
      </c>
      <c r="F17" s="6" t="s">
        <v>9</v>
      </c>
      <c r="G17" s="6"/>
      <c r="H17" s="6"/>
      <c r="I17" s="6"/>
      <c r="J17" s="6"/>
      <c r="K17" s="6"/>
      <c r="L17" s="6"/>
      <c r="M17" s="6"/>
      <c r="N17" s="6"/>
    </row>
    <row r="18" spans="1:14" x14ac:dyDescent="0.25">
      <c r="A18" s="202"/>
      <c r="B18" s="28" t="s">
        <v>37</v>
      </c>
      <c r="C18" s="29">
        <f>C12</f>
        <v>782.55555555555554</v>
      </c>
      <c r="D18" s="29" t="s">
        <v>6</v>
      </c>
      <c r="E18" s="32">
        <f>ROUNDUP(C18/K9,0)</f>
        <v>40</v>
      </c>
      <c r="F18" s="6" t="s">
        <v>9</v>
      </c>
      <c r="G18" s="6"/>
      <c r="H18" s="6"/>
      <c r="I18" s="6"/>
      <c r="J18" s="6"/>
      <c r="K18" s="6"/>
      <c r="L18" s="6"/>
      <c r="M18" s="6"/>
      <c r="N18" s="6"/>
    </row>
    <row r="19" spans="1:14" x14ac:dyDescent="0.25">
      <c r="A19" s="203" t="s">
        <v>36</v>
      </c>
      <c r="B19" s="28" t="s">
        <v>32</v>
      </c>
      <c r="C19" s="29">
        <f>ROUNDUP(ROUNDUP(E25,0)/2,0)*2</f>
        <v>28</v>
      </c>
      <c r="D19" s="29" t="s">
        <v>6</v>
      </c>
      <c r="E19" s="32">
        <f>ROUNDUP(C19/K6,0)</f>
        <v>2</v>
      </c>
      <c r="F19" s="6" t="s">
        <v>9</v>
      </c>
      <c r="G19" s="6"/>
      <c r="H19" s="6"/>
      <c r="I19" s="6"/>
      <c r="J19" s="6"/>
      <c r="K19" s="6"/>
      <c r="L19" s="6"/>
      <c r="M19" s="6"/>
      <c r="N19" s="6"/>
    </row>
    <row r="20" spans="1:14" x14ac:dyDescent="0.25">
      <c r="A20" s="203"/>
      <c r="B20" s="28" t="s">
        <v>34</v>
      </c>
      <c r="C20" s="29">
        <f>(ROUNDUP(ROUNDUP(E25,0)/2,0)+1)*(E28-1)+ROUNDUP(D5/G2,0)-1+ROUNDUP(D5/G2,0)-1</f>
        <v>34</v>
      </c>
      <c r="D20" s="29" t="s">
        <v>6</v>
      </c>
      <c r="E20" s="32">
        <f>ROUNDUP(C20/K7,0)</f>
        <v>2</v>
      </c>
      <c r="F20" s="6" t="s">
        <v>9</v>
      </c>
      <c r="G20" s="6"/>
      <c r="H20" s="6"/>
      <c r="I20" s="6"/>
      <c r="J20" s="6"/>
      <c r="K20" s="6"/>
      <c r="L20" s="6"/>
      <c r="M20" s="6"/>
      <c r="N20" s="6"/>
    </row>
    <row r="21" spans="1:14" x14ac:dyDescent="0.25">
      <c r="A21" s="203"/>
      <c r="B21" s="28" t="s">
        <v>33</v>
      </c>
      <c r="C21" s="29">
        <f>C19+C20</f>
        <v>62</v>
      </c>
      <c r="D21" s="29" t="s">
        <v>6</v>
      </c>
      <c r="E21" s="32">
        <f>ROUNDUP(C21/K8,0)</f>
        <v>5</v>
      </c>
      <c r="F21" s="6" t="s">
        <v>9</v>
      </c>
      <c r="G21" s="6"/>
      <c r="H21" s="6"/>
      <c r="I21" s="6"/>
      <c r="J21" s="6"/>
      <c r="K21" s="6"/>
      <c r="L21" s="6"/>
      <c r="M21" s="6"/>
      <c r="N21" s="6"/>
    </row>
    <row r="22" spans="1:14" ht="15.75" thickBot="1" x14ac:dyDescent="0.3">
      <c r="A22" s="203"/>
      <c r="B22" s="36" t="s">
        <v>37</v>
      </c>
      <c r="C22" s="37">
        <f>C18+ROUNDUP(D5*2/G4,0)</f>
        <v>838.55555555555554</v>
      </c>
      <c r="D22" s="37" t="s">
        <v>6</v>
      </c>
      <c r="E22" s="38">
        <f>ROUNDUP(C22/K9,0)</f>
        <v>42</v>
      </c>
      <c r="F22" s="6" t="s">
        <v>9</v>
      </c>
      <c r="G22" s="6"/>
      <c r="H22" s="6"/>
      <c r="I22" s="6"/>
      <c r="J22" s="6"/>
      <c r="K22" s="6"/>
      <c r="L22" s="6"/>
      <c r="M22" s="6"/>
      <c r="N22" s="6"/>
    </row>
    <row r="23" spans="1:14" x14ac:dyDescent="0.25">
      <c r="A23" s="6"/>
      <c r="B23" s="6"/>
      <c r="C23" s="6"/>
      <c r="D23" s="6"/>
      <c r="E23" s="6"/>
      <c r="F23" s="6"/>
      <c r="G23" s="6"/>
      <c r="H23" s="6"/>
      <c r="I23" s="6"/>
      <c r="J23" s="6"/>
      <c r="K23" s="6"/>
      <c r="L23" s="6"/>
      <c r="M23" s="6"/>
      <c r="N23" s="6"/>
    </row>
    <row r="24" spans="1:14" x14ac:dyDescent="0.25">
      <c r="A24" s="6"/>
      <c r="B24" s="6" t="s">
        <v>20</v>
      </c>
      <c r="C24" s="6"/>
      <c r="D24" s="6">
        <f>D4/(D1+G1)</f>
        <v>56.497175141242934</v>
      </c>
      <c r="E24" s="6">
        <f>ROUNDUP(D24,0)</f>
        <v>57</v>
      </c>
      <c r="F24" s="6"/>
      <c r="G24" s="6"/>
      <c r="H24" s="6"/>
      <c r="I24" s="6"/>
      <c r="J24" s="6"/>
      <c r="K24" s="6"/>
      <c r="L24" s="6"/>
      <c r="M24" s="6"/>
      <c r="N24" s="6"/>
    </row>
    <row r="25" spans="1:14" x14ac:dyDescent="0.25">
      <c r="A25" s="6"/>
      <c r="B25" s="6" t="s">
        <v>21</v>
      </c>
      <c r="C25" s="6"/>
      <c r="D25" s="6"/>
      <c r="E25" s="6">
        <f>(ROUNDUP((D5/D2),0)+(D5/G3))</f>
        <v>26.80952380952381</v>
      </c>
      <c r="F25" s="6">
        <f>(D4/G2)</f>
        <v>2.5</v>
      </c>
      <c r="G25" s="6"/>
      <c r="H25" s="6"/>
      <c r="I25" s="6"/>
      <c r="J25" s="6"/>
      <c r="K25" s="6"/>
      <c r="L25" s="6"/>
      <c r="M25" s="6"/>
      <c r="N25" s="6"/>
    </row>
    <row r="26" spans="1:14" x14ac:dyDescent="0.25">
      <c r="A26" s="6"/>
      <c r="B26" s="6" t="s">
        <v>5</v>
      </c>
      <c r="C26" s="6"/>
      <c r="D26" s="6">
        <f>D24*D2</f>
        <v>225.98870056497174</v>
      </c>
      <c r="E26" s="6"/>
      <c r="F26" s="6"/>
      <c r="G26" s="6"/>
      <c r="H26" s="6"/>
      <c r="I26" s="6"/>
      <c r="J26" s="6"/>
      <c r="K26" s="6"/>
      <c r="L26" s="6"/>
      <c r="M26" s="6"/>
      <c r="N26" s="6"/>
    </row>
    <row r="27" spans="1:14" x14ac:dyDescent="0.25">
      <c r="A27" s="6"/>
      <c r="B27" s="6"/>
      <c r="C27" s="6"/>
      <c r="D27" s="6"/>
      <c r="E27" s="6"/>
      <c r="F27" s="6"/>
      <c r="G27" s="6"/>
      <c r="H27" s="6"/>
      <c r="I27" s="6"/>
      <c r="J27" s="6"/>
      <c r="K27" s="6"/>
      <c r="L27" s="6"/>
      <c r="M27" s="6"/>
      <c r="N27" s="6"/>
    </row>
    <row r="28" spans="1:14" x14ac:dyDescent="0.25">
      <c r="A28" s="6"/>
      <c r="B28" s="6" t="s">
        <v>13</v>
      </c>
      <c r="C28" s="6"/>
      <c r="D28" s="6">
        <f>D5/D2</f>
        <v>2.5</v>
      </c>
      <c r="E28" s="6">
        <f>ROUNDUP(D28,0)</f>
        <v>3</v>
      </c>
      <c r="F28" s="6">
        <f>ROUNDDOWN(D28,0)</f>
        <v>2</v>
      </c>
      <c r="G28" s="6"/>
      <c r="H28" s="6"/>
      <c r="I28" s="6"/>
      <c r="J28" s="6"/>
      <c r="K28" s="6"/>
      <c r="L28" s="6"/>
      <c r="M28" s="6"/>
      <c r="N28" s="6"/>
    </row>
    <row r="29" spans="1:14" x14ac:dyDescent="0.25">
      <c r="A29" s="6"/>
      <c r="B29" s="6" t="s">
        <v>12</v>
      </c>
      <c r="C29" s="6"/>
      <c r="D29" s="6">
        <f>E28-D28</f>
        <v>0.5</v>
      </c>
      <c r="E29" s="6">
        <f>D26*D29</f>
        <v>112.99435028248587</v>
      </c>
      <c r="F29" s="6"/>
      <c r="G29" s="6"/>
      <c r="H29" s="6"/>
      <c r="I29" s="6"/>
      <c r="J29" s="6"/>
      <c r="K29" s="6"/>
      <c r="L29" s="6"/>
      <c r="M29" s="6"/>
      <c r="N29" s="6"/>
    </row>
    <row r="30" spans="1:14" x14ac:dyDescent="0.25">
      <c r="A30" s="6"/>
      <c r="B30" s="6"/>
      <c r="C30" s="6"/>
      <c r="D30" s="6"/>
      <c r="E30" s="6"/>
      <c r="F30" s="6"/>
      <c r="G30" s="6"/>
      <c r="H30" s="6"/>
      <c r="I30" s="6"/>
      <c r="J30" s="6"/>
      <c r="K30" s="6"/>
      <c r="L30" s="6"/>
      <c r="M30" s="6"/>
      <c r="N30" s="6"/>
    </row>
    <row r="31" spans="1:14" x14ac:dyDescent="0.25">
      <c r="A31" s="6"/>
      <c r="B31" s="6"/>
      <c r="C31" s="6"/>
      <c r="D31" s="6">
        <f>D5/G3</f>
        <v>23.80952380952381</v>
      </c>
      <c r="E31" s="6"/>
      <c r="F31" s="6"/>
      <c r="G31" s="6"/>
      <c r="H31" s="6"/>
      <c r="I31" s="6"/>
      <c r="J31" s="6"/>
      <c r="K31" s="6"/>
      <c r="L31" s="6"/>
      <c r="M31" s="6"/>
      <c r="N31" s="6"/>
    </row>
    <row r="32" spans="1:14" x14ac:dyDescent="0.25">
      <c r="A32" s="6"/>
      <c r="B32" s="6"/>
      <c r="C32" s="6"/>
      <c r="D32" s="6"/>
      <c r="E32" s="6"/>
      <c r="F32" s="6"/>
      <c r="G32" s="6"/>
      <c r="H32" s="6"/>
      <c r="I32" s="6"/>
      <c r="J32" s="6"/>
      <c r="K32" s="6"/>
      <c r="L32" s="6"/>
      <c r="M32" s="6"/>
      <c r="N32" s="6"/>
    </row>
    <row r="33" spans="1:14" x14ac:dyDescent="0.25">
      <c r="A33" s="6"/>
      <c r="B33" s="6" t="s">
        <v>24</v>
      </c>
      <c r="C33" s="6"/>
      <c r="D33" s="6">
        <f>ROUNDUP(D4/2,0)-1</f>
        <v>4</v>
      </c>
      <c r="E33" s="6"/>
      <c r="F33" s="6"/>
      <c r="G33" s="6"/>
      <c r="H33" s="6"/>
      <c r="I33" s="6"/>
      <c r="J33" s="6"/>
      <c r="K33" s="6"/>
      <c r="L33" s="6"/>
      <c r="M33" s="6"/>
      <c r="N33" s="6"/>
    </row>
    <row r="34" spans="1:14" x14ac:dyDescent="0.25">
      <c r="A34" s="6"/>
      <c r="B34" s="6"/>
      <c r="C34" s="6"/>
      <c r="D34" s="6"/>
      <c r="E34" s="6"/>
      <c r="F34" s="6"/>
      <c r="G34" s="6"/>
      <c r="H34" s="6"/>
      <c r="I34" s="6"/>
      <c r="J34" s="6"/>
      <c r="K34" s="6"/>
      <c r="L34" s="6"/>
      <c r="M34" s="6"/>
      <c r="N34" s="6"/>
    </row>
    <row r="35" spans="1:14" x14ac:dyDescent="0.25">
      <c r="A35" s="6"/>
      <c r="B35" s="6"/>
      <c r="C35" s="6"/>
      <c r="D35" s="6"/>
      <c r="E35" s="6">
        <f>ROUNDUP(E24*F28+D40,0)</f>
        <v>143</v>
      </c>
      <c r="F35" s="6"/>
      <c r="G35" s="6"/>
      <c r="H35" s="6"/>
      <c r="I35" s="6"/>
      <c r="J35" s="6"/>
      <c r="K35" s="6"/>
      <c r="L35" s="6"/>
      <c r="M35" s="6"/>
      <c r="N35" s="6"/>
    </row>
    <row r="36" spans="1:14" x14ac:dyDescent="0.25">
      <c r="A36" s="6"/>
      <c r="B36" s="6"/>
      <c r="C36" s="6"/>
      <c r="D36" s="6"/>
      <c r="E36" s="6"/>
      <c r="F36" s="6"/>
      <c r="G36" s="6"/>
      <c r="H36" s="6"/>
      <c r="I36" s="6"/>
      <c r="J36" s="6"/>
      <c r="K36" s="6"/>
      <c r="L36" s="6"/>
      <c r="M36" s="6"/>
      <c r="N36" s="6"/>
    </row>
    <row r="37" spans="1:14" x14ac:dyDescent="0.25">
      <c r="A37" s="6"/>
      <c r="B37" s="6"/>
      <c r="C37" s="6"/>
      <c r="D37" s="6">
        <f>D28-ROUNDDOWN(D28,0)</f>
        <v>0.5</v>
      </c>
      <c r="E37" s="6"/>
      <c r="F37" s="6"/>
      <c r="G37" s="6"/>
      <c r="H37" s="6"/>
      <c r="I37" s="6"/>
      <c r="J37" s="6"/>
      <c r="K37" s="6"/>
      <c r="L37" s="6"/>
      <c r="M37" s="6"/>
      <c r="N37" s="6"/>
    </row>
    <row r="38" spans="1:14" x14ac:dyDescent="0.25">
      <c r="A38" s="6"/>
      <c r="B38" s="6"/>
      <c r="C38" s="6"/>
      <c r="D38" s="6">
        <f>1/D37</f>
        <v>2</v>
      </c>
      <c r="E38" s="6">
        <f>E24/D38</f>
        <v>28.5</v>
      </c>
      <c r="F38" s="6"/>
      <c r="G38" s="6"/>
      <c r="H38" s="6"/>
      <c r="I38" s="6"/>
      <c r="J38" s="6"/>
      <c r="K38" s="6"/>
      <c r="L38" s="6"/>
      <c r="M38" s="6"/>
      <c r="N38" s="6"/>
    </row>
    <row r="39" spans="1:14" x14ac:dyDescent="0.25">
      <c r="A39" s="6"/>
      <c r="B39" s="6"/>
      <c r="C39" s="6"/>
      <c r="D39" s="6"/>
      <c r="E39" s="6"/>
      <c r="F39" s="6"/>
      <c r="G39" s="6"/>
      <c r="H39" s="6"/>
      <c r="I39" s="6"/>
      <c r="J39" s="6"/>
      <c r="K39" s="6"/>
      <c r="L39" s="6"/>
      <c r="M39" s="6"/>
      <c r="N39" s="6"/>
    </row>
    <row r="40" spans="1:14" x14ac:dyDescent="0.25">
      <c r="A40" s="6"/>
      <c r="B40" s="6"/>
      <c r="C40" s="6"/>
      <c r="D40" s="6">
        <f>E24/ROUNDDOWN(D38,0)</f>
        <v>28.5</v>
      </c>
      <c r="E40" s="6">
        <f>IFERROR(D40,0)</f>
        <v>28.5</v>
      </c>
      <c r="F40" s="6">
        <f>ROUNDUP(E24*F28+E40,0)</f>
        <v>143</v>
      </c>
      <c r="G40" s="6"/>
      <c r="H40" s="6"/>
      <c r="I40" s="6"/>
      <c r="J40" s="6"/>
      <c r="K40" s="6"/>
      <c r="L40" s="6"/>
      <c r="M40" s="6"/>
      <c r="N40" s="6"/>
    </row>
    <row r="41" spans="1:14" x14ac:dyDescent="0.25">
      <c r="A41" s="6"/>
      <c r="B41" s="6"/>
      <c r="C41" s="6"/>
      <c r="D41" s="6"/>
      <c r="E41" s="6"/>
      <c r="F41" s="6"/>
      <c r="G41" s="6"/>
      <c r="H41" s="6"/>
      <c r="I41" s="6"/>
      <c r="J41" s="6"/>
      <c r="K41" s="6"/>
      <c r="L41" s="6"/>
      <c r="M41" s="6"/>
      <c r="N41" s="6"/>
    </row>
  </sheetData>
  <mergeCells count="2">
    <mergeCell ref="A14:A18"/>
    <mergeCell ref="A19:A22"/>
  </mergeCells>
  <dataValidations disablePrompts="1" count="1">
    <dataValidation type="list" allowBlank="1" showInputMessage="1" showErrorMessage="1" sqref="D1">
      <mc:AlternateContent xmlns:x12ac="http://schemas.microsoft.com/office/spreadsheetml/2011/1/ac" xmlns:mc="http://schemas.openxmlformats.org/markup-compatibility/2006">
        <mc:Choice Requires="x12ac">
          <x12ac:list>"0,14","0,17"</x12ac:list>
        </mc:Choice>
        <mc:Fallback>
          <formula1>"0,14,0,17"</formula1>
        </mc:Fallback>
      </mc:AlternateContent>
    </dataValidation>
  </dataValidations>
  <pageMargins left="0.7" right="0.7" top="0.78740157499999996" bottom="0.78740157499999996" header="0.3" footer="0.3"/>
  <pageSetup paperSize="9" orientation="portrait" verticalDpi="598"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5"/>
  <sheetViews>
    <sheetView workbookViewId="0">
      <selection activeCell="B3" sqref="B3"/>
    </sheetView>
  </sheetViews>
  <sheetFormatPr baseColWidth="10" defaultRowHeight="15" x14ac:dyDescent="0.25"/>
  <sheetData>
    <row r="2" spans="2:2" x14ac:dyDescent="0.25">
      <c r="B2" t="s">
        <v>42</v>
      </c>
    </row>
    <row r="3" spans="2:2" x14ac:dyDescent="0.25">
      <c r="B3">
        <v>4</v>
      </c>
    </row>
    <row r="4" spans="2:2" x14ac:dyDescent="0.25">
      <c r="B4">
        <v>5</v>
      </c>
    </row>
    <row r="5" spans="2:2" x14ac:dyDescent="0.25">
      <c r="B5">
        <v>6</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10</vt:i4>
      </vt:variant>
    </vt:vector>
  </HeadingPairs>
  <TitlesOfParts>
    <vt:vector size="10" baseType="lpstr">
      <vt:lpstr>1#KALKULATOR-CALCULATOR_NEW</vt:lpstr>
      <vt:lpstr>2#UMRECHNER-CONVERTER</vt:lpstr>
      <vt:lpstr>Normal_V2_Pro</vt:lpstr>
      <vt:lpstr>Normal_V2_Classic</vt:lpstr>
      <vt:lpstr>Normal_V2_CORO</vt:lpstr>
      <vt:lpstr>Normal_V2_Style</vt:lpstr>
      <vt:lpstr>Tabelle2</vt:lpstr>
      <vt:lpstr>Tabelle3</vt:lpstr>
      <vt:lpstr>Tabelle5</vt:lpstr>
      <vt:lpstr>Tabelle1</vt:lpstr>
    </vt:vector>
  </TitlesOfParts>
  <Company>REHAU</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Rene Magerböck</dc:creator>
  <cp:lastModifiedBy>Sabrina Stirnimann</cp:lastModifiedBy>
  <cp:lastPrinted>2015-12-17T15:50:20Z</cp:lastPrinted>
  <dcterms:created xsi:type="dcterms:W3CDTF">2015-02-26T12:20:58Z</dcterms:created>
  <dcterms:modified xsi:type="dcterms:W3CDTF">2016-05-20T07:12:28Z</dcterms:modified>
</cp:coreProperties>
</file>